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gif" ContentType="image/gif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drawings/drawing21.xml" ContentType="application/vnd.openxmlformats-officedocument.drawing+xml"/>
  <Override PartName="/xl/charts/chart21.xml" ContentType="application/vnd.openxmlformats-officedocument.drawingml.chart+xml"/>
  <Override PartName="/xl/drawings/drawing22.xml" ContentType="application/vnd.openxmlformats-officedocument.drawing+xml"/>
  <Override PartName="/xl/charts/chart22.xml" ContentType="application/vnd.openxmlformats-officedocument.drawingml.chart+xml"/>
  <Override PartName="/xl/drawings/drawing23.xml" ContentType="application/vnd.openxmlformats-officedocument.drawing+xml"/>
  <Override PartName="/xl/charts/chart23.xml" ContentType="application/vnd.openxmlformats-officedocument.drawingml.chart+xml"/>
  <Override PartName="/xl/drawings/drawing24.xml" ContentType="application/vnd.openxmlformats-officedocument.drawing+xml"/>
  <Override PartName="/xl/charts/chart24.xml" ContentType="application/vnd.openxmlformats-officedocument.drawingml.chart+xml"/>
  <Override PartName="/xl/drawings/drawing25.xml" ContentType="application/vnd.openxmlformats-officedocument.drawing+xml"/>
  <Override PartName="/xl/charts/chart25.xml" ContentType="application/vnd.openxmlformats-officedocument.drawingml.chart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charts/chart26.xml" ContentType="application/vnd.openxmlformats-officedocument.drawingml.chart+xml"/>
  <Override PartName="/xl/drawings/drawing28.xml" ContentType="application/vnd.openxmlformats-officedocument.drawing+xml"/>
  <Override PartName="/xl/charts/chart27.xml" ContentType="application/vnd.openxmlformats-officedocument.drawingml.chart+xml"/>
  <Override PartName="/xl/drawings/drawing29.xml" ContentType="application/vnd.openxmlformats-officedocument.drawing+xml"/>
  <Override PartName="/xl/charts/chart28.xml" ContentType="application/vnd.openxmlformats-officedocument.drawingml.chart+xml"/>
  <Override PartName="/xl/drawings/drawing30.xml" ContentType="application/vnd.openxmlformats-officedocument.drawing+xml"/>
  <Override PartName="/xl/charts/chart29.xml" ContentType="application/vnd.openxmlformats-officedocument.drawingml.chart+xml"/>
  <Override PartName="/xl/drawings/drawing31.xml" ContentType="application/vnd.openxmlformats-officedocument.drawing+xml"/>
  <Override PartName="/xl/charts/chart30.xml" ContentType="application/vnd.openxmlformats-officedocument.drawingml.chart+xml"/>
  <Override PartName="/xl/drawings/drawing32.xml" ContentType="application/vnd.openxmlformats-officedocument.drawing+xml"/>
  <Override PartName="/xl/charts/chart31.xml" ContentType="application/vnd.openxmlformats-officedocument.drawingml.chart+xml"/>
  <Override PartName="/xl/drawings/drawing33.xml" ContentType="application/vnd.openxmlformats-officedocument.drawing+xml"/>
  <Override PartName="/xl/charts/chart32.xml" ContentType="application/vnd.openxmlformats-officedocument.drawingml.chart+xml"/>
  <Override PartName="/xl/drawings/drawing34.xml" ContentType="application/vnd.openxmlformats-officedocument.drawing+xml"/>
  <Override PartName="/xl/charts/chart33.xml" ContentType="application/vnd.openxmlformats-officedocument.drawingml.chart+xml"/>
  <Override PartName="/xl/drawings/drawing35.xml" ContentType="application/vnd.openxmlformats-officedocument.drawing+xml"/>
  <Override PartName="/xl/charts/chart34.xml" ContentType="application/vnd.openxmlformats-officedocument.drawingml.chart+xml"/>
  <Override PartName="/xl/drawings/drawing36.xml" ContentType="application/vnd.openxmlformats-officedocument.drawing+xml"/>
  <Override PartName="/xl/charts/chart35.xml" ContentType="application/vnd.openxmlformats-officedocument.drawingml.chart+xml"/>
  <Override PartName="/xl/drawings/drawing37.xml" ContentType="application/vnd.openxmlformats-officedocument.drawing+xml"/>
  <Override PartName="/xl/charts/chart36.xml" ContentType="application/vnd.openxmlformats-officedocument.drawingml.chart+xml"/>
  <Override PartName="/xl/drawings/drawing38.xml" ContentType="application/vnd.openxmlformats-officedocument.drawing+xml"/>
  <Override PartName="/xl/charts/chart37.xml" ContentType="application/vnd.openxmlformats-officedocument.drawingml.chart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charts/chart38.xml" ContentType="application/vnd.openxmlformats-officedocument.drawingml.chart+xml"/>
  <Override PartName="/xl/drawings/drawing43.xml" ContentType="application/vnd.openxmlformats-officedocument.drawing+xml"/>
  <Override PartName="/xl/charts/chart39.xml" ContentType="application/vnd.openxmlformats-officedocument.drawingml.chart+xml"/>
  <Override PartName="/xl/drawings/drawing44.xml" ContentType="application/vnd.openxmlformats-officedocument.drawing+xml"/>
  <Override PartName="/xl/charts/chart40.xml" ContentType="application/vnd.openxmlformats-officedocument.drawingml.chart+xml"/>
  <Override PartName="/xl/drawings/drawing45.xml" ContentType="application/vnd.openxmlformats-officedocument.drawing+xml"/>
  <Override PartName="/xl/charts/chart4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7260" tabRatio="865"/>
  </bookViews>
  <sheets>
    <sheet name="PPR" sheetId="44" r:id="rId1"/>
    <sheet name="감만1구역" sheetId="11" r:id="rId2"/>
    <sheet name="우암2구역" sheetId="10" r:id="rId3"/>
    <sheet name="우암1구역" sheetId="9" r:id="rId4"/>
    <sheet name="대연3구역" sheetId="2" r:id="rId5"/>
    <sheet name="대연4구역" sheetId="3" r:id="rId6"/>
    <sheet name="대연8구역" sheetId="4" r:id="rId7"/>
    <sheet name="복산1구역" sheetId="14" r:id="rId8"/>
    <sheet name="우동3구역" sheetId="12" r:id="rId9"/>
    <sheet name="광안2구역" sheetId="29" r:id="rId10"/>
    <sheet name="서금사 재정비 촉진A" sheetId="7" r:id="rId11"/>
    <sheet name="서금사 재정비 촉진5" sheetId="8" r:id="rId12"/>
    <sheet name="온천4" sheetId="15" r:id="rId13"/>
    <sheet name="양정1구역" sheetId="17" r:id="rId14"/>
    <sheet name="양정2구역" sheetId="18" r:id="rId15"/>
    <sheet name="양정3구역" sheetId="19" r:id="rId16"/>
    <sheet name="거제2구역" sheetId="16" r:id="rId17"/>
    <sheet name="시민공원촉진3구역" sheetId="32" r:id="rId18"/>
    <sheet name="시민공원촉진4구역" sheetId="48" r:id="rId19"/>
    <sheet name="가야1구역" sheetId="38" r:id="rId20"/>
    <sheet name="범천4구역" sheetId="31" r:id="rId21"/>
    <sheet name="범천1-1구역" sheetId="13" r:id="rId22"/>
    <sheet name="문현1구역" sheetId="26" r:id="rId23"/>
    <sheet name="문현3구역" sheetId="30" r:id="rId24"/>
    <sheet name="좌천범일통합2지구" sheetId="34" r:id="rId25"/>
    <sheet name="좌천범일통합3지구" sheetId="5" state="hidden" r:id="rId26"/>
    <sheet name="초량2구역" sheetId="43" r:id="rId27"/>
    <sheet name="초량3구역" sheetId="33" r:id="rId28"/>
    <sheet name="괴정5구역" sheetId="20" r:id="rId29"/>
    <sheet name="괴정6구역" sheetId="50" r:id="rId30"/>
    <sheet name="엄궁3구역" sheetId="28" r:id="rId31"/>
    <sheet name="부곡2구역" sheetId="42" r:id="rId32"/>
    <sheet name="범일2구역" sheetId="35" r:id="rId33"/>
    <sheet name="망미2구역" sheetId="45" r:id="rId34"/>
    <sheet name="용호2구역" sheetId="21" r:id="rId35"/>
    <sheet name="감천2구역" sheetId="46" r:id="rId36"/>
    <sheet name="영도5구역" sheetId="47" r:id="rId37"/>
    <sheet name="부민2구역" sheetId="49" r:id="rId38"/>
    <sheet name="동삼2구역" sheetId="6" state="hidden" r:id="rId39"/>
    <sheet name="용호3구역" sheetId="22" state="hidden" r:id="rId40"/>
    <sheet name="전포1-1구역" sheetId="25" state="hidden" r:id="rId41"/>
    <sheet name="남천2-3 남천삼익비치-재건축" sheetId="36" state="hidden" r:id="rId42"/>
    <sheet name="거제1-재건축" sheetId="39" state="hidden" r:id="rId43"/>
    <sheet name="사직1-5-재건축" sheetId="40" state="hidden" r:id="rId44"/>
    <sheet name="사직1-6-재건축" sheetId="41" state="hidden" r:id="rId45"/>
  </sheets>
  <definedNames>
    <definedName name="_xlnm.Print_Area" localSheetId="1">감만1구역!$A$1:$H$56</definedName>
    <definedName name="_xlnm.Print_Area" localSheetId="35">감천2구역!$A$1:$H$80</definedName>
    <definedName name="_xlnm.Print_Area" localSheetId="16">거제2구역!$A$1:$H$95</definedName>
    <definedName name="_xlnm.Print_Area" localSheetId="28">괴정5구역!$A$1:$H$95</definedName>
    <definedName name="_xlnm.Print_Area" localSheetId="29">괴정6구역!$A$1:$H$56</definedName>
    <definedName name="_xlnm.Print_Area" localSheetId="5">대연4구역!$A$1:$H$62</definedName>
    <definedName name="_xlnm.Print_Area" localSheetId="21">'범천1-1구역'!$A$1:$H$68</definedName>
    <definedName name="_xlnm.Print_Area" localSheetId="7">복산1구역!$A$1:$H$66</definedName>
    <definedName name="_xlnm.Print_Area" localSheetId="37">부민2구역!$A$1:$H$74</definedName>
    <definedName name="_xlnm.Print_Area" localSheetId="11">'서금사 재정비 촉진5'!$A$1:$H$81</definedName>
    <definedName name="_xlnm.Print_Area" localSheetId="10">'서금사 재정비 촉진A'!$A$1:$H$78</definedName>
    <definedName name="_xlnm.Print_Area" localSheetId="13">양정1구역!$A$1:$H$82</definedName>
    <definedName name="_xlnm.Print_Area" localSheetId="14">양정2구역!$A$1:$H$82</definedName>
    <definedName name="_xlnm.Print_Area" localSheetId="15">양정3구역!$A$1:$H$76</definedName>
    <definedName name="_xlnm.Print_Area" localSheetId="30">엄궁3구역!$A$1:$H$50</definedName>
    <definedName name="_xlnm.Print_Area" localSheetId="36">영도5구역!$A$1:$H$75</definedName>
    <definedName name="_xlnm.Print_Area" localSheetId="12">온천4!$A$1:$H$89</definedName>
    <definedName name="_xlnm.Print_Area" localSheetId="34">용호2구역!$A$1:$H$75</definedName>
    <definedName name="_xlnm.Print_Area" localSheetId="39">용호3구역!$A$1:$H$62</definedName>
    <definedName name="_xlnm.Print_Area" localSheetId="8">우동3구역!$A$1:$H$68</definedName>
    <definedName name="_xlnm.Print_Area" localSheetId="3">우암1구역!$A$1:$H$81</definedName>
    <definedName name="_xlnm.Print_Area" localSheetId="2">우암2구역!$A$1:$H$98</definedName>
    <definedName name="_xlnm.Print_Area" localSheetId="40">'전포1-1구역'!$A$1:$H$80</definedName>
  </definedNames>
  <calcPr calcId="144525"/>
</workbook>
</file>

<file path=xl/calcChain.xml><?xml version="1.0" encoding="utf-8"?>
<calcChain xmlns="http://schemas.openxmlformats.org/spreadsheetml/2006/main">
  <c r="C47" i="50" l="1"/>
  <c r="C69" i="46"/>
  <c r="C64" i="45"/>
  <c r="C58" i="35"/>
  <c r="C57" i="28"/>
  <c r="C48" i="50"/>
  <c r="C76" i="13"/>
  <c r="C80" i="16"/>
  <c r="C64" i="19"/>
  <c r="C72" i="18"/>
  <c r="C72" i="17"/>
  <c r="C98" i="15"/>
  <c r="C66" i="7"/>
  <c r="C68" i="29"/>
  <c r="C68" i="2"/>
  <c r="C32" i="31" l="1"/>
  <c r="C39" i="50" l="1"/>
  <c r="H44" i="50" s="1"/>
  <c r="F29" i="44"/>
  <c r="E29" i="44"/>
  <c r="D29" i="44"/>
  <c r="G39" i="50"/>
  <c r="F44" i="50" s="1"/>
  <c r="G44" i="50" s="1"/>
  <c r="D39" i="50"/>
  <c r="E39" i="50" s="1"/>
  <c r="D44" i="50" s="1"/>
  <c r="E44" i="50" s="1"/>
  <c r="G38" i="50"/>
  <c r="F43" i="50" s="1"/>
  <c r="G43" i="50" s="1"/>
  <c r="E38" i="50"/>
  <c r="D43" i="50" s="1"/>
  <c r="E43" i="50" s="1"/>
  <c r="G37" i="50"/>
  <c r="F42" i="50" s="1"/>
  <c r="G42" i="50" s="1"/>
  <c r="E37" i="50"/>
  <c r="D42" i="50" s="1"/>
  <c r="E42" i="50" s="1"/>
  <c r="H34" i="50"/>
  <c r="F34" i="50"/>
  <c r="E34" i="50"/>
  <c r="D34" i="50"/>
  <c r="C33" i="50"/>
  <c r="C32" i="50"/>
  <c r="C31" i="50"/>
  <c r="E13" i="50"/>
  <c r="G13" i="50" s="1"/>
  <c r="E12" i="50"/>
  <c r="C10" i="50"/>
  <c r="E10" i="50" s="1"/>
  <c r="E9" i="50"/>
  <c r="F7" i="50"/>
  <c r="I44" i="50" l="1"/>
  <c r="I29" i="44" s="1"/>
  <c r="C34" i="50"/>
  <c r="H14" i="50" s="1"/>
  <c r="G29" i="44"/>
  <c r="H29" i="44" s="1"/>
  <c r="G33" i="50"/>
  <c r="G32" i="50"/>
  <c r="G12" i="50"/>
  <c r="G31" i="50"/>
  <c r="H84" i="15"/>
  <c r="H83" i="15"/>
  <c r="H80" i="15"/>
  <c r="D67" i="15"/>
  <c r="D66" i="15"/>
  <c r="G34" i="50" l="1"/>
  <c r="F37" i="44"/>
  <c r="F36" i="44"/>
  <c r="D36" i="44"/>
  <c r="D37" i="44"/>
  <c r="G51" i="49"/>
  <c r="G52" i="49"/>
  <c r="G54" i="49"/>
  <c r="G55" i="49"/>
  <c r="G56" i="49"/>
  <c r="F51" i="49"/>
  <c r="F52" i="49"/>
  <c r="F54" i="49"/>
  <c r="F55" i="49"/>
  <c r="F56" i="49"/>
  <c r="E51" i="49"/>
  <c r="E52" i="49"/>
  <c r="E54" i="49"/>
  <c r="E55" i="49"/>
  <c r="E56" i="49"/>
  <c r="E50" i="49"/>
  <c r="D54" i="49"/>
  <c r="D55" i="49"/>
  <c r="D56" i="49"/>
  <c r="C44" i="49"/>
  <c r="G44" i="49" s="1"/>
  <c r="F53" i="49" s="1"/>
  <c r="G53" i="49" s="1"/>
  <c r="D44" i="49"/>
  <c r="E38" i="49"/>
  <c r="F38" i="49"/>
  <c r="G38" i="49"/>
  <c r="D38" i="49"/>
  <c r="H35" i="49" s="1"/>
  <c r="C31" i="49"/>
  <c r="C37" i="49"/>
  <c r="C36" i="49"/>
  <c r="C35" i="49"/>
  <c r="C34" i="49"/>
  <c r="C33" i="49"/>
  <c r="C32" i="49"/>
  <c r="E43" i="49"/>
  <c r="G43" i="49"/>
  <c r="G42" i="49"/>
  <c r="E42" i="49"/>
  <c r="G41" i="49"/>
  <c r="F50" i="49" s="1"/>
  <c r="G50" i="49" s="1"/>
  <c r="E41" i="49"/>
  <c r="D50" i="49" s="1"/>
  <c r="E13" i="49"/>
  <c r="G13" i="49" s="1"/>
  <c r="E12" i="49"/>
  <c r="C10" i="49"/>
  <c r="E10" i="49" s="1"/>
  <c r="E9" i="49"/>
  <c r="F7" i="49"/>
  <c r="H53" i="49" l="1"/>
  <c r="E37" i="44"/>
  <c r="C38" i="49"/>
  <c r="D52" i="49"/>
  <c r="D51" i="49"/>
  <c r="E44" i="49"/>
  <c r="H31" i="49"/>
  <c r="H14" i="49"/>
  <c r="H33" i="49"/>
  <c r="H34" i="49"/>
  <c r="H32" i="49"/>
  <c r="H37" i="49"/>
  <c r="H36" i="49"/>
  <c r="G12" i="49"/>
  <c r="H52" i="49"/>
  <c r="G37" i="44" l="1"/>
  <c r="C59" i="49"/>
  <c r="I52" i="49"/>
  <c r="I37" i="44" s="1"/>
  <c r="D53" i="49"/>
  <c r="E53" i="49" s="1"/>
  <c r="H38" i="49"/>
  <c r="H57" i="9"/>
  <c r="C69" i="9" s="1"/>
  <c r="C40" i="47" l="1"/>
  <c r="E36" i="44" s="1"/>
  <c r="C44" i="7"/>
  <c r="C49" i="14"/>
  <c r="C44" i="31" l="1"/>
  <c r="C52" i="16" l="1"/>
  <c r="C44" i="8"/>
  <c r="F19" i="44" l="1"/>
  <c r="D19" i="44"/>
  <c r="F50" i="48"/>
  <c r="E49" i="48"/>
  <c r="E50" i="48"/>
  <c r="D43" i="48"/>
  <c r="C43" i="48"/>
  <c r="H51" i="48" s="1"/>
  <c r="C60" i="48" s="1"/>
  <c r="C35" i="48"/>
  <c r="C34" i="48"/>
  <c r="C33" i="48"/>
  <c r="C31" i="48"/>
  <c r="C30" i="48"/>
  <c r="F32" i="48"/>
  <c r="C32" i="48"/>
  <c r="C36" i="48" s="1"/>
  <c r="F52" i="48"/>
  <c r="G52" i="48" s="1"/>
  <c r="D48" i="48"/>
  <c r="E48" i="48" s="1"/>
  <c r="F47" i="48"/>
  <c r="G47" i="48" s="1"/>
  <c r="D47" i="48"/>
  <c r="E47" i="48" s="1"/>
  <c r="D52" i="48"/>
  <c r="E52" i="48" s="1"/>
  <c r="D49" i="48"/>
  <c r="F49" i="48"/>
  <c r="G49" i="48" s="1"/>
  <c r="F48" i="48"/>
  <c r="G48" i="48" s="1"/>
  <c r="G36" i="48"/>
  <c r="E36" i="48"/>
  <c r="D36" i="48"/>
  <c r="H33" i="48" s="1"/>
  <c r="F35" i="48"/>
  <c r="F34" i="48"/>
  <c r="F33" i="48"/>
  <c r="F31" i="48"/>
  <c r="E13" i="48"/>
  <c r="C8" i="48"/>
  <c r="C17" i="48" s="1"/>
  <c r="E7" i="48"/>
  <c r="G6" i="48"/>
  <c r="E10" i="48" s="1"/>
  <c r="F5" i="48"/>
  <c r="G19" i="44" l="1"/>
  <c r="H19" i="44" s="1"/>
  <c r="I49" i="48"/>
  <c r="I19" i="44" s="1"/>
  <c r="G43" i="48"/>
  <c r="F51" i="48" s="1"/>
  <c r="G51" i="48" s="1"/>
  <c r="E19" i="44"/>
  <c r="E43" i="48"/>
  <c r="D51" i="48" s="1"/>
  <c r="E51" i="48" s="1"/>
  <c r="E8" i="48"/>
  <c r="F36" i="48"/>
  <c r="H32" i="48"/>
  <c r="H30" i="48"/>
  <c r="H35" i="48"/>
  <c r="H34" i="48"/>
  <c r="H31" i="48"/>
  <c r="E11" i="48"/>
  <c r="C40" i="21"/>
  <c r="C43" i="45"/>
  <c r="C42" i="35"/>
  <c r="C51" i="42"/>
  <c r="C44" i="33"/>
  <c r="C46" i="43"/>
  <c r="C42" i="34"/>
  <c r="C49" i="30"/>
  <c r="C49" i="26"/>
  <c r="C43" i="38"/>
  <c r="C40" i="32"/>
  <c r="C49" i="12"/>
  <c r="C46" i="4"/>
  <c r="H36" i="48" l="1"/>
  <c r="G13" i="48"/>
  <c r="G14" i="48" s="1"/>
  <c r="E16" i="48" s="1"/>
  <c r="G16" i="48" s="1"/>
  <c r="C16" i="48" s="1"/>
  <c r="E18" i="48" s="1"/>
  <c r="C18" i="48" s="1"/>
  <c r="G11" i="48"/>
  <c r="G12" i="48" s="1"/>
  <c r="G10" i="48"/>
  <c r="G35" i="44"/>
  <c r="F35" i="44"/>
  <c r="E35" i="44"/>
  <c r="D35" i="44"/>
  <c r="H57" i="46"/>
  <c r="D57" i="46"/>
  <c r="D58" i="46"/>
  <c r="E51" i="46"/>
  <c r="G47" i="46"/>
  <c r="G48" i="46"/>
  <c r="G49" i="46"/>
  <c r="F60" i="46" s="1"/>
  <c r="G60" i="46" s="1"/>
  <c r="G50" i="46"/>
  <c r="F61" i="46" s="1"/>
  <c r="G61" i="46" s="1"/>
  <c r="G51" i="46"/>
  <c r="E47" i="46"/>
  <c r="E48" i="46"/>
  <c r="E49" i="46"/>
  <c r="E50" i="46"/>
  <c r="D61" i="46" s="1"/>
  <c r="E61" i="46" s="1"/>
  <c r="G40" i="46"/>
  <c r="H40" i="46"/>
  <c r="H32" i="46"/>
  <c r="H33" i="46"/>
  <c r="H34" i="46"/>
  <c r="H35" i="46"/>
  <c r="H36" i="46"/>
  <c r="H37" i="46"/>
  <c r="H38" i="46"/>
  <c r="H39" i="46"/>
  <c r="C39" i="46"/>
  <c r="C38" i="46"/>
  <c r="C37" i="46"/>
  <c r="C36" i="46"/>
  <c r="C35" i="46"/>
  <c r="C34" i="46"/>
  <c r="C33" i="46"/>
  <c r="C32" i="46"/>
  <c r="C31" i="46"/>
  <c r="G57" i="47"/>
  <c r="F57" i="47"/>
  <c r="D57" i="47"/>
  <c r="E57" i="47" s="1"/>
  <c r="F56" i="47"/>
  <c r="G56" i="47" s="1"/>
  <c r="E56" i="47"/>
  <c r="D56" i="47"/>
  <c r="G55" i="47"/>
  <c r="F55" i="47"/>
  <c r="D55" i="47"/>
  <c r="E55" i="47" s="1"/>
  <c r="F54" i="47"/>
  <c r="G54" i="47" s="1"/>
  <c r="E54" i="47"/>
  <c r="D54" i="47"/>
  <c r="G53" i="47"/>
  <c r="F53" i="47"/>
  <c r="D53" i="47"/>
  <c r="E53" i="47" s="1"/>
  <c r="F52" i="47"/>
  <c r="G52" i="47" s="1"/>
  <c r="H51" i="47"/>
  <c r="C64" i="47" s="1"/>
  <c r="G41" i="47"/>
  <c r="E41" i="47"/>
  <c r="D52" i="47" s="1"/>
  <c r="E52" i="47" s="1"/>
  <c r="G40" i="47"/>
  <c r="F51" i="47" s="1"/>
  <c r="G51" i="47" s="1"/>
  <c r="D40" i="47"/>
  <c r="E40" i="47" s="1"/>
  <c r="D51" i="47" s="1"/>
  <c r="E51" i="47" s="1"/>
  <c r="G39" i="47"/>
  <c r="F50" i="47" s="1"/>
  <c r="G50" i="47" s="1"/>
  <c r="E39" i="47"/>
  <c r="D50" i="47" s="1"/>
  <c r="E50" i="47" s="1"/>
  <c r="G38" i="47"/>
  <c r="F49" i="47" s="1"/>
  <c r="G49" i="47" s="1"/>
  <c r="E38" i="47"/>
  <c r="D49" i="47" s="1"/>
  <c r="E49" i="47" s="1"/>
  <c r="G35" i="47"/>
  <c r="F35" i="47"/>
  <c r="E35" i="47"/>
  <c r="D35" i="47"/>
  <c r="H33" i="47" s="1"/>
  <c r="C35" i="47"/>
  <c r="E13" i="47"/>
  <c r="G13" i="47" s="1"/>
  <c r="E12" i="47"/>
  <c r="C10" i="47"/>
  <c r="E10" i="47" s="1"/>
  <c r="E9" i="47"/>
  <c r="F7" i="47"/>
  <c r="F62" i="46"/>
  <c r="G62" i="46" s="1"/>
  <c r="D62" i="46"/>
  <c r="E62" i="46" s="1"/>
  <c r="D60" i="46"/>
  <c r="E60" i="46" s="1"/>
  <c r="F59" i="46"/>
  <c r="G59" i="46" s="1"/>
  <c r="D59" i="46"/>
  <c r="E59" i="46" s="1"/>
  <c r="F58" i="46"/>
  <c r="G58" i="46" s="1"/>
  <c r="E58" i="46"/>
  <c r="D56" i="46"/>
  <c r="E56" i="46" s="1"/>
  <c r="F55" i="46"/>
  <c r="G55" i="46" s="1"/>
  <c r="G46" i="46"/>
  <c r="F57" i="46" s="1"/>
  <c r="E46" i="46"/>
  <c r="E57" i="46" s="1"/>
  <c r="G45" i="46"/>
  <c r="F56" i="46" s="1"/>
  <c r="G56" i="46" s="1"/>
  <c r="E45" i="46"/>
  <c r="G44" i="46"/>
  <c r="E44" i="46"/>
  <c r="D55" i="46" s="1"/>
  <c r="E55" i="46" s="1"/>
  <c r="G43" i="46"/>
  <c r="F54" i="46" s="1"/>
  <c r="G54" i="46" s="1"/>
  <c r="E43" i="46"/>
  <c r="D54" i="46" s="1"/>
  <c r="E54" i="46" s="1"/>
  <c r="F40" i="46"/>
  <c r="E40" i="46"/>
  <c r="D40" i="46"/>
  <c r="E13" i="46"/>
  <c r="E12" i="46"/>
  <c r="C10" i="46"/>
  <c r="E10" i="46" s="1"/>
  <c r="E9" i="46"/>
  <c r="F7" i="46"/>
  <c r="F34" i="44"/>
  <c r="E34" i="44"/>
  <c r="D34" i="44"/>
  <c r="F33" i="44"/>
  <c r="E33" i="44"/>
  <c r="D33" i="44"/>
  <c r="F54" i="45"/>
  <c r="F55" i="45"/>
  <c r="G55" i="45" s="1"/>
  <c r="F56" i="45"/>
  <c r="G54" i="45"/>
  <c r="G56" i="45"/>
  <c r="G57" i="45"/>
  <c r="E54" i="45"/>
  <c r="E55" i="45"/>
  <c r="E56" i="45"/>
  <c r="D54" i="45"/>
  <c r="D55" i="45"/>
  <c r="D56" i="45"/>
  <c r="H53" i="45"/>
  <c r="I53" i="45" s="1"/>
  <c r="I33" i="44" s="1"/>
  <c r="D43" i="45"/>
  <c r="E43" i="45" s="1"/>
  <c r="D53" i="45" s="1"/>
  <c r="E53" i="45" s="1"/>
  <c r="G44" i="45"/>
  <c r="G45" i="45"/>
  <c r="G46" i="45"/>
  <c r="G47" i="45"/>
  <c r="F57" i="45" s="1"/>
  <c r="E44" i="45"/>
  <c r="E45" i="45"/>
  <c r="E46" i="45"/>
  <c r="D37" i="45"/>
  <c r="C36" i="45"/>
  <c r="C35" i="45"/>
  <c r="C34" i="45"/>
  <c r="C33" i="45"/>
  <c r="C32" i="45"/>
  <c r="C31" i="45"/>
  <c r="C30" i="45"/>
  <c r="C29" i="45"/>
  <c r="E47" i="45"/>
  <c r="D57" i="45" s="1"/>
  <c r="E57" i="45" s="1"/>
  <c r="G43" i="45"/>
  <c r="F53" i="45" s="1"/>
  <c r="G53" i="45" s="1"/>
  <c r="G42" i="45"/>
  <c r="F52" i="45" s="1"/>
  <c r="G52" i="45" s="1"/>
  <c r="E42" i="45"/>
  <c r="D52" i="45" s="1"/>
  <c r="E52" i="45" s="1"/>
  <c r="G41" i="45"/>
  <c r="F51" i="45" s="1"/>
  <c r="G51" i="45" s="1"/>
  <c r="E41" i="45"/>
  <c r="D51" i="45" s="1"/>
  <c r="E51" i="45" s="1"/>
  <c r="G40" i="45"/>
  <c r="F50" i="45" s="1"/>
  <c r="G50" i="45" s="1"/>
  <c r="E40" i="45"/>
  <c r="D50" i="45" s="1"/>
  <c r="E50" i="45" s="1"/>
  <c r="F37" i="45"/>
  <c r="E37" i="45"/>
  <c r="G34" i="45"/>
  <c r="G11" i="45"/>
  <c r="G10" i="45"/>
  <c r="E8" i="45"/>
  <c r="C8" i="45"/>
  <c r="E7" i="45"/>
  <c r="F5" i="45"/>
  <c r="F32" i="44"/>
  <c r="E32" i="44"/>
  <c r="D32" i="44"/>
  <c r="F31" i="44"/>
  <c r="E31" i="44"/>
  <c r="D31" i="44"/>
  <c r="G30" i="44"/>
  <c r="F30" i="44"/>
  <c r="E30" i="44"/>
  <c r="D30" i="44"/>
  <c r="H30" i="44" s="1"/>
  <c r="I49" i="28"/>
  <c r="I30" i="44" s="1"/>
  <c r="H49" i="28"/>
  <c r="F28" i="44"/>
  <c r="E28" i="44"/>
  <c r="D28" i="44"/>
  <c r="F27" i="44"/>
  <c r="E27" i="44"/>
  <c r="D27" i="44"/>
  <c r="F26" i="44"/>
  <c r="E26" i="44"/>
  <c r="D26" i="44"/>
  <c r="F25" i="44"/>
  <c r="E25" i="44"/>
  <c r="D25" i="44"/>
  <c r="F24" i="44"/>
  <c r="E24" i="44"/>
  <c r="D24" i="44"/>
  <c r="F23" i="44"/>
  <c r="E23" i="44"/>
  <c r="D23" i="44"/>
  <c r="F22" i="44"/>
  <c r="E22" i="44"/>
  <c r="D22" i="44"/>
  <c r="F21" i="44"/>
  <c r="E21" i="44"/>
  <c r="D21" i="44"/>
  <c r="F20" i="44"/>
  <c r="E20" i="44"/>
  <c r="D20" i="44"/>
  <c r="F18" i="44"/>
  <c r="E18" i="44"/>
  <c r="D18" i="44"/>
  <c r="F17" i="44"/>
  <c r="E17" i="44"/>
  <c r="D17" i="44"/>
  <c r="F16" i="44"/>
  <c r="E16" i="44"/>
  <c r="D16" i="44"/>
  <c r="F15" i="44"/>
  <c r="E15" i="44"/>
  <c r="D15" i="44"/>
  <c r="F14" i="44"/>
  <c r="E14" i="44"/>
  <c r="D14" i="44"/>
  <c r="F13" i="44"/>
  <c r="E13" i="44"/>
  <c r="D13" i="44"/>
  <c r="F12" i="44"/>
  <c r="E12" i="44"/>
  <c r="D12" i="44"/>
  <c r="F11" i="44"/>
  <c r="E11" i="44"/>
  <c r="D11" i="44"/>
  <c r="F10" i="44"/>
  <c r="E10" i="44"/>
  <c r="D10" i="44"/>
  <c r="F9" i="44"/>
  <c r="E9" i="44"/>
  <c r="D9" i="44"/>
  <c r="F8" i="44"/>
  <c r="E8" i="44"/>
  <c r="D8" i="44"/>
  <c r="F7" i="44"/>
  <c r="E7" i="44"/>
  <c r="D7" i="44"/>
  <c r="F6" i="44"/>
  <c r="E6" i="44"/>
  <c r="D6" i="44"/>
  <c r="F4" i="44"/>
  <c r="E4" i="44"/>
  <c r="D4" i="44"/>
  <c r="F3" i="44"/>
  <c r="E3" i="44"/>
  <c r="D3" i="44"/>
  <c r="F2" i="44"/>
  <c r="E2" i="44"/>
  <c r="D2" i="44"/>
  <c r="F5" i="44"/>
  <c r="E5" i="44"/>
  <c r="D5" i="44"/>
  <c r="E45" i="39"/>
  <c r="H51" i="38"/>
  <c r="D43" i="38"/>
  <c r="H59" i="42"/>
  <c r="D51" i="42"/>
  <c r="H57" i="4"/>
  <c r="D46" i="4"/>
  <c r="H55" i="43"/>
  <c r="D46" i="43"/>
  <c r="H52" i="33"/>
  <c r="C59" i="33" s="1"/>
  <c r="D44" i="33"/>
  <c r="H47" i="32"/>
  <c r="C57" i="32" s="1"/>
  <c r="D40" i="32"/>
  <c r="D44" i="31"/>
  <c r="H54" i="31"/>
  <c r="C66" i="31" s="1"/>
  <c r="H53" i="29"/>
  <c r="G10" i="44" s="1"/>
  <c r="H60" i="30"/>
  <c r="D49" i="30"/>
  <c r="H61" i="26"/>
  <c r="C79" i="26" s="1"/>
  <c r="E42" i="28"/>
  <c r="G42" i="28"/>
  <c r="G49" i="26"/>
  <c r="D49" i="26"/>
  <c r="E49" i="26" s="1"/>
  <c r="D61" i="26" s="1"/>
  <c r="D40" i="21"/>
  <c r="H51" i="21"/>
  <c r="C64" i="21" s="1"/>
  <c r="H76" i="20"/>
  <c r="C91" i="20" s="1"/>
  <c r="D58" i="20"/>
  <c r="H55" i="19"/>
  <c r="H62" i="18"/>
  <c r="G15" i="44" s="1"/>
  <c r="D50" i="17"/>
  <c r="H62" i="17"/>
  <c r="G14" i="44" s="1"/>
  <c r="H66" i="16"/>
  <c r="D63" i="15"/>
  <c r="H61" i="14"/>
  <c r="D49" i="14"/>
  <c r="H50" i="35"/>
  <c r="D42" i="35"/>
  <c r="H64" i="13"/>
  <c r="G22" i="44" s="1"/>
  <c r="F68" i="13"/>
  <c r="D68" i="13"/>
  <c r="F63" i="13"/>
  <c r="F65" i="13"/>
  <c r="F66" i="13"/>
  <c r="F67" i="13"/>
  <c r="D62" i="13"/>
  <c r="D63" i="13"/>
  <c r="D65" i="13"/>
  <c r="D66" i="13"/>
  <c r="D67" i="13"/>
  <c r="D60" i="13"/>
  <c r="D61" i="13"/>
  <c r="F60" i="13"/>
  <c r="F61" i="13"/>
  <c r="F62" i="13"/>
  <c r="D51" i="13"/>
  <c r="H61" i="12"/>
  <c r="C75" i="12" s="1"/>
  <c r="D49" i="12"/>
  <c r="H55" i="11"/>
  <c r="H58" i="10"/>
  <c r="G4" i="44"/>
  <c r="H54" i="8"/>
  <c r="F52" i="8"/>
  <c r="G52" i="8" s="1"/>
  <c r="F53" i="8"/>
  <c r="F55" i="8"/>
  <c r="F51" i="8"/>
  <c r="G51" i="8" s="1"/>
  <c r="E51" i="8"/>
  <c r="D52" i="8"/>
  <c r="D53" i="8"/>
  <c r="E53" i="8" s="1"/>
  <c r="D55" i="8"/>
  <c r="D51" i="8"/>
  <c r="E55" i="8"/>
  <c r="G55" i="8"/>
  <c r="G53" i="8"/>
  <c r="E52" i="8"/>
  <c r="D44" i="8"/>
  <c r="H55" i="7"/>
  <c r="D44" i="7"/>
  <c r="H52" i="34"/>
  <c r="D42" i="34"/>
  <c r="H60" i="3"/>
  <c r="I60" i="3" s="1"/>
  <c r="I6" i="44" s="1"/>
  <c r="H54" i="2"/>
  <c r="I54" i="2" s="1"/>
  <c r="I5" i="44" s="1"/>
  <c r="D54" i="2"/>
  <c r="G31" i="44" l="1"/>
  <c r="C68" i="42"/>
  <c r="G26" i="44"/>
  <c r="C63" i="43"/>
  <c r="I52" i="34"/>
  <c r="I25" i="44" s="1"/>
  <c r="C61" i="34"/>
  <c r="G24" i="44"/>
  <c r="H24" i="44" s="1"/>
  <c r="C69" i="30"/>
  <c r="G20" i="44"/>
  <c r="H20" i="44" s="1"/>
  <c r="C60" i="38"/>
  <c r="G12" i="44"/>
  <c r="C64" i="8"/>
  <c r="I61" i="14"/>
  <c r="I8" i="44" s="1"/>
  <c r="C76" i="14"/>
  <c r="G7" i="44"/>
  <c r="C70" i="4"/>
  <c r="G3" i="44"/>
  <c r="C70" i="10"/>
  <c r="G2" i="44"/>
  <c r="C65" i="11"/>
  <c r="H26" i="44"/>
  <c r="I55" i="19"/>
  <c r="I16" i="44" s="1"/>
  <c r="I62" i="18"/>
  <c r="I15" i="44" s="1"/>
  <c r="H35" i="44"/>
  <c r="G13" i="44"/>
  <c r="H13" i="44" s="1"/>
  <c r="I76" i="20"/>
  <c r="I28" i="44" s="1"/>
  <c r="I51" i="47"/>
  <c r="I36" i="44" s="1"/>
  <c r="G36" i="44"/>
  <c r="H36" i="44" s="1"/>
  <c r="G27" i="44"/>
  <c r="H27" i="44" s="1"/>
  <c r="G16" i="44"/>
  <c r="H16" i="44" s="1"/>
  <c r="G6" i="44"/>
  <c r="H6" i="44" s="1"/>
  <c r="H14" i="44"/>
  <c r="I62" i="17"/>
  <c r="I14" i="44" s="1"/>
  <c r="H15" i="44"/>
  <c r="I57" i="46"/>
  <c r="I35" i="44" s="1"/>
  <c r="I52" i="33"/>
  <c r="I27" i="44" s="1"/>
  <c r="G18" i="44"/>
  <c r="H18" i="44" s="1"/>
  <c r="H12" i="44"/>
  <c r="I64" i="13"/>
  <c r="I22" i="44" s="1"/>
  <c r="G9" i="44"/>
  <c r="H9" i="44" s="1"/>
  <c r="H7" i="44"/>
  <c r="I58" i="10"/>
  <c r="I3" i="44" s="1"/>
  <c r="H37" i="44"/>
  <c r="I55" i="7"/>
  <c r="I11" i="44" s="1"/>
  <c r="G11" i="44"/>
  <c r="H11" i="44" s="1"/>
  <c r="I51" i="21"/>
  <c r="I34" i="44" s="1"/>
  <c r="G33" i="44"/>
  <c r="H33" i="44" s="1"/>
  <c r="I50" i="35"/>
  <c r="I32" i="44" s="1"/>
  <c r="G32" i="44"/>
  <c r="H32" i="44" s="1"/>
  <c r="H31" i="44"/>
  <c r="G28" i="44"/>
  <c r="H28" i="44" s="1"/>
  <c r="I55" i="43"/>
  <c r="I26" i="44" s="1"/>
  <c r="G25" i="44"/>
  <c r="H25" i="44" s="1"/>
  <c r="G23" i="44"/>
  <c r="H23" i="44" s="1"/>
  <c r="I61" i="26"/>
  <c r="I23" i="44" s="1"/>
  <c r="I51" i="38"/>
  <c r="I20" i="44" s="1"/>
  <c r="I66" i="16"/>
  <c r="I17" i="44" s="1"/>
  <c r="G17" i="44"/>
  <c r="H17" i="44" s="1"/>
  <c r="I80" i="15"/>
  <c r="I13" i="44" s="1"/>
  <c r="I53" i="29"/>
  <c r="I10" i="44" s="1"/>
  <c r="H10" i="44"/>
  <c r="I61" i="12"/>
  <c r="I9" i="44" s="1"/>
  <c r="H3" i="44"/>
  <c r="G5" i="44"/>
  <c r="H5" i="44" s="1"/>
  <c r="H4" i="44"/>
  <c r="I57" i="9"/>
  <c r="I4" i="44" s="1"/>
  <c r="I55" i="11"/>
  <c r="I2" i="44" s="1"/>
  <c r="H22" i="44"/>
  <c r="H2" i="44"/>
  <c r="G18" i="48"/>
  <c r="G34" i="44"/>
  <c r="H34" i="44" s="1"/>
  <c r="I59" i="42"/>
  <c r="I31" i="44" s="1"/>
  <c r="I60" i="30"/>
  <c r="I24" i="44" s="1"/>
  <c r="G21" i="44"/>
  <c r="H21" i="44" s="1"/>
  <c r="I54" i="31"/>
  <c r="I21" i="44" s="1"/>
  <c r="I47" i="32"/>
  <c r="I18" i="44" s="1"/>
  <c r="G8" i="44"/>
  <c r="H8" i="44" s="1"/>
  <c r="I57" i="4"/>
  <c r="I7" i="44" s="1"/>
  <c r="H34" i="47"/>
  <c r="H31" i="47"/>
  <c r="H14" i="47"/>
  <c r="G12" i="47"/>
  <c r="I54" i="8"/>
  <c r="I12" i="44" s="1"/>
  <c r="G57" i="46"/>
  <c r="C40" i="46"/>
  <c r="H31" i="46"/>
  <c r="G12" i="46"/>
  <c r="G13" i="46"/>
  <c r="H32" i="47"/>
  <c r="H35" i="47" s="1"/>
  <c r="G35" i="45"/>
  <c r="C37" i="45"/>
  <c r="H12" i="45" s="1"/>
  <c r="G36" i="45"/>
  <c r="G31" i="45"/>
  <c r="G32" i="45"/>
  <c r="G30" i="45"/>
  <c r="G33" i="45"/>
  <c r="G29" i="45"/>
  <c r="P65" i="4"/>
  <c r="Q65" i="4" s="1"/>
  <c r="P66" i="4"/>
  <c r="Q66" i="4" s="1"/>
  <c r="P67" i="4"/>
  <c r="Q67" i="4"/>
  <c r="P68" i="4"/>
  <c r="Q68" i="4"/>
  <c r="N65" i="4"/>
  <c r="N66" i="4"/>
  <c r="N67" i="4"/>
  <c r="N68" i="4"/>
  <c r="Q64" i="4"/>
  <c r="P64" i="4"/>
  <c r="N64" i="4"/>
  <c r="H14" i="46" l="1"/>
  <c r="G37" i="45"/>
  <c r="C34" i="31"/>
  <c r="C36" i="31"/>
  <c r="C34" i="32" l="1"/>
  <c r="C33" i="32"/>
  <c r="G41" i="21" l="1"/>
  <c r="E41" i="21"/>
  <c r="G40" i="21"/>
  <c r="E40" i="21"/>
  <c r="C34" i="21"/>
  <c r="C33" i="21"/>
  <c r="H37" i="43" l="1"/>
  <c r="C38" i="43"/>
  <c r="F50" i="43" l="1"/>
  <c r="G50" i="43" s="1"/>
  <c r="D50" i="43"/>
  <c r="E50" i="43" s="1"/>
  <c r="G47" i="43"/>
  <c r="F56" i="43" s="1"/>
  <c r="G56" i="43" s="1"/>
  <c r="E47" i="43"/>
  <c r="D56" i="43" s="1"/>
  <c r="E56" i="43" s="1"/>
  <c r="G46" i="43"/>
  <c r="F55" i="43" s="1"/>
  <c r="G55" i="43" s="1"/>
  <c r="E46" i="43"/>
  <c r="D55" i="43" s="1"/>
  <c r="E55" i="43" s="1"/>
  <c r="G44" i="43"/>
  <c r="F53" i="43" s="1"/>
  <c r="G53" i="43" s="1"/>
  <c r="E44" i="43"/>
  <c r="D53" i="43" s="1"/>
  <c r="E53" i="43" s="1"/>
  <c r="G43" i="43"/>
  <c r="F52" i="43" s="1"/>
  <c r="G52" i="43" s="1"/>
  <c r="E43" i="43"/>
  <c r="D52" i="43" s="1"/>
  <c r="E52" i="43" s="1"/>
  <c r="G42" i="43"/>
  <c r="F51" i="43" s="1"/>
  <c r="G51" i="43" s="1"/>
  <c r="E42" i="43"/>
  <c r="D51" i="43" s="1"/>
  <c r="E51" i="43" s="1"/>
  <c r="G38" i="43"/>
  <c r="F38" i="43"/>
  <c r="E38" i="43"/>
  <c r="D38" i="43"/>
  <c r="H36" i="43" s="1"/>
  <c r="E13" i="43"/>
  <c r="C8" i="43"/>
  <c r="E8" i="43" s="1"/>
  <c r="E7" i="43"/>
  <c r="G6" i="43"/>
  <c r="E11" i="43" s="1"/>
  <c r="F5" i="43"/>
  <c r="C17" i="43" l="1"/>
  <c r="G13" i="43"/>
  <c r="G14" i="43" s="1"/>
  <c r="E16" i="43" s="1"/>
  <c r="G11" i="43"/>
  <c r="G12" i="43" s="1"/>
  <c r="H34" i="43"/>
  <c r="E10" i="43"/>
  <c r="G10" i="43" s="1"/>
  <c r="H31" i="43"/>
  <c r="H35" i="43"/>
  <c r="H33" i="43"/>
  <c r="H32" i="43"/>
  <c r="C44" i="42"/>
  <c r="C43" i="42"/>
  <c r="C42" i="42"/>
  <c r="C41" i="42"/>
  <c r="C40" i="42"/>
  <c r="C38" i="42"/>
  <c r="C39" i="42"/>
  <c r="C37" i="42"/>
  <c r="C36" i="42"/>
  <c r="C35" i="42"/>
  <c r="C34" i="42"/>
  <c r="C33" i="42"/>
  <c r="C32" i="42"/>
  <c r="C31" i="42"/>
  <c r="E45" i="42"/>
  <c r="F45" i="42"/>
  <c r="G45" i="42"/>
  <c r="H45" i="42"/>
  <c r="D45" i="42"/>
  <c r="H38" i="42"/>
  <c r="H37" i="42"/>
  <c r="H39" i="42"/>
  <c r="H40" i="42"/>
  <c r="H41" i="42"/>
  <c r="H42" i="42"/>
  <c r="H43" i="42"/>
  <c r="H44" i="42"/>
  <c r="F56" i="42"/>
  <c r="G56" i="42" s="1"/>
  <c r="D56" i="42"/>
  <c r="E56" i="42" s="1"/>
  <c r="G53" i="42"/>
  <c r="F61" i="42" s="1"/>
  <c r="G61" i="42" s="1"/>
  <c r="E53" i="42"/>
  <c r="D61" i="42" s="1"/>
  <c r="E61" i="42" s="1"/>
  <c r="G52" i="42"/>
  <c r="F60" i="42" s="1"/>
  <c r="G60" i="42" s="1"/>
  <c r="E52" i="42"/>
  <c r="D60" i="42" s="1"/>
  <c r="E60" i="42" s="1"/>
  <c r="G51" i="42"/>
  <c r="F59" i="42" s="1"/>
  <c r="G59" i="42" s="1"/>
  <c r="E51" i="42"/>
  <c r="D59" i="42" s="1"/>
  <c r="E59" i="42" s="1"/>
  <c r="G50" i="42"/>
  <c r="F58" i="42" s="1"/>
  <c r="G58" i="42" s="1"/>
  <c r="E50" i="42"/>
  <c r="D58" i="42" s="1"/>
  <c r="E58" i="42" s="1"/>
  <c r="G49" i="42"/>
  <c r="F57" i="42" s="1"/>
  <c r="G57" i="42" s="1"/>
  <c r="E49" i="42"/>
  <c r="D57" i="42" s="1"/>
  <c r="E57" i="42" s="1"/>
  <c r="H36" i="42"/>
  <c r="H35" i="42"/>
  <c r="H34" i="42"/>
  <c r="H33" i="42"/>
  <c r="H32" i="42"/>
  <c r="H31" i="42"/>
  <c r="E13" i="42"/>
  <c r="C8" i="42"/>
  <c r="E8" i="42" s="1"/>
  <c r="E7" i="42"/>
  <c r="G6" i="42"/>
  <c r="E10" i="42" s="1"/>
  <c r="F5" i="42"/>
  <c r="H38" i="43" l="1"/>
  <c r="G16" i="43"/>
  <c r="C16" i="43" s="1"/>
  <c r="E18" i="43" s="1"/>
  <c r="C45" i="42"/>
  <c r="E11" i="42"/>
  <c r="G10" i="42" s="1"/>
  <c r="C17" i="42"/>
  <c r="C42" i="41"/>
  <c r="C43" i="41"/>
  <c r="C44" i="41"/>
  <c r="C41" i="41"/>
  <c r="E41" i="41" s="1"/>
  <c r="D44" i="41"/>
  <c r="E44" i="41" s="1"/>
  <c r="D42" i="41"/>
  <c r="E42" i="41" s="1"/>
  <c r="D41" i="41"/>
  <c r="E45" i="41"/>
  <c r="D43" i="41"/>
  <c r="E40" i="41"/>
  <c r="G37" i="41"/>
  <c r="F37" i="41"/>
  <c r="E37" i="41"/>
  <c r="D37" i="41"/>
  <c r="H34" i="41" s="1"/>
  <c r="C36" i="41"/>
  <c r="H35" i="41"/>
  <c r="C35" i="41"/>
  <c r="C34" i="41"/>
  <c r="H33" i="41"/>
  <c r="C33" i="41"/>
  <c r="C32" i="41"/>
  <c r="H31" i="41"/>
  <c r="H37" i="41" s="1"/>
  <c r="C31" i="41"/>
  <c r="C17" i="41"/>
  <c r="E13" i="41"/>
  <c r="C8" i="41"/>
  <c r="E8" i="41" s="1"/>
  <c r="E7" i="41"/>
  <c r="G6" i="41"/>
  <c r="E11" i="41" s="1"/>
  <c r="F5" i="41"/>
  <c r="C18" i="43" l="1"/>
  <c r="G18" i="43"/>
  <c r="G13" i="42"/>
  <c r="G14" i="42" s="1"/>
  <c r="E16" i="42" s="1"/>
  <c r="G16" i="42" s="1"/>
  <c r="C16" i="42" s="1"/>
  <c r="E18" i="42" s="1"/>
  <c r="G11" i="42"/>
  <c r="G12" i="42" s="1"/>
  <c r="C37" i="41"/>
  <c r="E43" i="41"/>
  <c r="E10" i="41"/>
  <c r="G10" i="41" s="1"/>
  <c r="G13" i="41"/>
  <c r="G14" i="41" s="1"/>
  <c r="E16" i="41" s="1"/>
  <c r="G11" i="41"/>
  <c r="H32" i="41"/>
  <c r="H36" i="41"/>
  <c r="E43" i="40"/>
  <c r="D43" i="40"/>
  <c r="C43" i="40"/>
  <c r="E45" i="40"/>
  <c r="E44" i="40"/>
  <c r="E42" i="40"/>
  <c r="E41" i="40"/>
  <c r="E40" i="40"/>
  <c r="G37" i="40"/>
  <c r="F37" i="40"/>
  <c r="E37" i="40"/>
  <c r="D37" i="40"/>
  <c r="H33" i="40" s="1"/>
  <c r="C36" i="40"/>
  <c r="C35" i="40"/>
  <c r="H34" i="40"/>
  <c r="C34" i="40"/>
  <c r="C33" i="40"/>
  <c r="C32" i="40"/>
  <c r="C31" i="40"/>
  <c r="C17" i="40"/>
  <c r="E13" i="40"/>
  <c r="C8" i="40"/>
  <c r="E8" i="40" s="1"/>
  <c r="E7" i="40"/>
  <c r="G6" i="40"/>
  <c r="E10" i="40" s="1"/>
  <c r="F5" i="40"/>
  <c r="G18" i="42" l="1"/>
  <c r="C18" i="42"/>
  <c r="G12" i="41"/>
  <c r="G16" i="41"/>
  <c r="C16" i="41" s="1"/>
  <c r="E18" i="41" s="1"/>
  <c r="C37" i="40"/>
  <c r="H31" i="40"/>
  <c r="H37" i="40" s="1"/>
  <c r="H35" i="40"/>
  <c r="H32" i="40"/>
  <c r="H36" i="40"/>
  <c r="E11" i="40"/>
  <c r="G13" i="40" s="1"/>
  <c r="G14" i="40" s="1"/>
  <c r="E16" i="40" s="1"/>
  <c r="G16" i="40" s="1"/>
  <c r="C16" i="40" s="1"/>
  <c r="E18" i="40" s="1"/>
  <c r="D45" i="39"/>
  <c r="C45" i="39"/>
  <c r="G18" i="41" l="1"/>
  <c r="C18" i="41"/>
  <c r="G10" i="40"/>
  <c r="G11" i="40"/>
  <c r="G12" i="40" s="1"/>
  <c r="G18" i="40"/>
  <c r="C18" i="40"/>
  <c r="E47" i="39"/>
  <c r="E46" i="39"/>
  <c r="E44" i="39"/>
  <c r="E43" i="39"/>
  <c r="E42" i="39"/>
  <c r="G39" i="39"/>
  <c r="F39" i="39"/>
  <c r="E39" i="39"/>
  <c r="D39" i="39"/>
  <c r="H36" i="39" s="1"/>
  <c r="C38" i="39"/>
  <c r="H37" i="39"/>
  <c r="C37" i="39"/>
  <c r="C36" i="39"/>
  <c r="H35" i="39"/>
  <c r="C35" i="39"/>
  <c r="H34" i="39"/>
  <c r="C34" i="39"/>
  <c r="H33" i="39"/>
  <c r="H39" i="39" s="1"/>
  <c r="C33" i="39"/>
  <c r="E13" i="39"/>
  <c r="C8" i="39"/>
  <c r="E8" i="39" s="1"/>
  <c r="E7" i="39"/>
  <c r="G6" i="39"/>
  <c r="E11" i="39" s="1"/>
  <c r="F5" i="39"/>
  <c r="C39" i="39" l="1"/>
  <c r="C17" i="39"/>
  <c r="G13" i="39"/>
  <c r="G14" i="39" s="1"/>
  <c r="E16" i="39" s="1"/>
  <c r="G11" i="39"/>
  <c r="E10" i="39"/>
  <c r="G10" i="39" s="1"/>
  <c r="H38" i="39"/>
  <c r="C8" i="38"/>
  <c r="E8" i="38" s="1"/>
  <c r="F53" i="38"/>
  <c r="G53" i="38" s="1"/>
  <c r="F48" i="38"/>
  <c r="G48" i="38" s="1"/>
  <c r="D48" i="38"/>
  <c r="E48" i="38" s="1"/>
  <c r="G45" i="38"/>
  <c r="E45" i="38"/>
  <c r="D53" i="38" s="1"/>
  <c r="E53" i="38" s="1"/>
  <c r="G44" i="38"/>
  <c r="F52" i="38" s="1"/>
  <c r="G52" i="38" s="1"/>
  <c r="E44" i="38"/>
  <c r="D52" i="38" s="1"/>
  <c r="E52" i="38" s="1"/>
  <c r="G43" i="38"/>
  <c r="F51" i="38" s="1"/>
  <c r="G51" i="38" s="1"/>
  <c r="E43" i="38"/>
  <c r="D51" i="38" s="1"/>
  <c r="E51" i="38" s="1"/>
  <c r="G42" i="38"/>
  <c r="F50" i="38" s="1"/>
  <c r="G50" i="38" s="1"/>
  <c r="E42" i="38"/>
  <c r="D50" i="38" s="1"/>
  <c r="E50" i="38" s="1"/>
  <c r="G41" i="38"/>
  <c r="F49" i="38" s="1"/>
  <c r="G49" i="38" s="1"/>
  <c r="E41" i="38"/>
  <c r="D49" i="38" s="1"/>
  <c r="E49" i="38" s="1"/>
  <c r="G37" i="38"/>
  <c r="F37" i="38"/>
  <c r="E37" i="38"/>
  <c r="H36" i="38"/>
  <c r="C36" i="38"/>
  <c r="C35" i="38"/>
  <c r="C34" i="38"/>
  <c r="C33" i="38"/>
  <c r="C32" i="38"/>
  <c r="C31" i="38"/>
  <c r="C17" i="38"/>
  <c r="E13" i="38"/>
  <c r="E7" i="38"/>
  <c r="G6" i="38"/>
  <c r="E11" i="38" s="1"/>
  <c r="F5" i="38"/>
  <c r="G12" i="39" l="1"/>
  <c r="G16" i="39"/>
  <c r="C16" i="39" s="1"/>
  <c r="E18" i="39" s="1"/>
  <c r="C37" i="38"/>
  <c r="G13" i="38"/>
  <c r="G14" i="38" s="1"/>
  <c r="E16" i="38" s="1"/>
  <c r="G11" i="38"/>
  <c r="G12" i="38" s="1"/>
  <c r="H33" i="38"/>
  <c r="H34" i="38"/>
  <c r="E10" i="38"/>
  <c r="G10" i="38" s="1"/>
  <c r="H31" i="38"/>
  <c r="H35" i="38"/>
  <c r="H32" i="38"/>
  <c r="C8" i="31"/>
  <c r="G18" i="39" l="1"/>
  <c r="C18" i="39"/>
  <c r="H37" i="38"/>
  <c r="G16" i="38"/>
  <c r="C16" i="38" s="1"/>
  <c r="E18" i="38" s="1"/>
  <c r="E45" i="36"/>
  <c r="E41" i="36"/>
  <c r="E42" i="36"/>
  <c r="E43" i="36"/>
  <c r="E44" i="36"/>
  <c r="E40" i="36"/>
  <c r="G37" i="36"/>
  <c r="F37" i="36"/>
  <c r="E37" i="36"/>
  <c r="D37" i="36"/>
  <c r="H36" i="36" s="1"/>
  <c r="C36" i="36"/>
  <c r="C35" i="36"/>
  <c r="C34" i="36"/>
  <c r="C33" i="36"/>
  <c r="C32" i="36"/>
  <c r="C31" i="36"/>
  <c r="E13" i="36"/>
  <c r="C8" i="36"/>
  <c r="E8" i="36" s="1"/>
  <c r="E7" i="36"/>
  <c r="G6" i="36"/>
  <c r="E11" i="36" s="1"/>
  <c r="F5" i="36"/>
  <c r="G47" i="31"/>
  <c r="G45" i="31"/>
  <c r="G44" i="31"/>
  <c r="F54" i="31" s="1"/>
  <c r="G43" i="31"/>
  <c r="G42" i="31"/>
  <c r="E45" i="31"/>
  <c r="E44" i="31"/>
  <c r="E43" i="31"/>
  <c r="E42" i="31"/>
  <c r="E47" i="31"/>
  <c r="C18" i="38" l="1"/>
  <c r="G18" i="38"/>
  <c r="H33" i="36"/>
  <c r="C37" i="36"/>
  <c r="G13" i="36"/>
  <c r="G14" i="36" s="1"/>
  <c r="E16" i="36" s="1"/>
  <c r="G11" i="36"/>
  <c r="C17" i="36"/>
  <c r="H34" i="36"/>
  <c r="E10" i="36"/>
  <c r="G10" i="36" s="1"/>
  <c r="H31" i="36"/>
  <c r="H35" i="36"/>
  <c r="H32" i="36"/>
  <c r="G43" i="35"/>
  <c r="F51" i="35" s="1"/>
  <c r="G51" i="35" s="1"/>
  <c r="E42" i="35"/>
  <c r="D50" i="35" s="1"/>
  <c r="E50" i="35" s="1"/>
  <c r="G41" i="35"/>
  <c r="F49" i="35" s="1"/>
  <c r="G49" i="35" s="1"/>
  <c r="C34" i="35"/>
  <c r="C32" i="35"/>
  <c r="C31" i="35"/>
  <c r="C30" i="35"/>
  <c r="C29" i="35"/>
  <c r="E41" i="35"/>
  <c r="D49" i="35" s="1"/>
  <c r="G40" i="35"/>
  <c r="F48" i="35" s="1"/>
  <c r="G48" i="35" s="1"/>
  <c r="E40" i="35"/>
  <c r="D48" i="35" s="1"/>
  <c r="G39" i="35"/>
  <c r="F47" i="35" s="1"/>
  <c r="G47" i="35" s="1"/>
  <c r="E39" i="35"/>
  <c r="D47" i="35" s="1"/>
  <c r="E47" i="35" s="1"/>
  <c r="G38" i="35"/>
  <c r="F46" i="35" s="1"/>
  <c r="G46" i="35" s="1"/>
  <c r="E38" i="35"/>
  <c r="D46" i="35" s="1"/>
  <c r="E46" i="35" s="1"/>
  <c r="F35" i="35"/>
  <c r="E35" i="35"/>
  <c r="D35" i="35"/>
  <c r="G34" i="35" s="1"/>
  <c r="C33" i="35"/>
  <c r="C8" i="35"/>
  <c r="E8" i="35" s="1"/>
  <c r="E7" i="35"/>
  <c r="F5" i="35"/>
  <c r="G12" i="36" l="1"/>
  <c r="H37" i="36"/>
  <c r="G16" i="36"/>
  <c r="C16" i="36" s="1"/>
  <c r="E18" i="36" s="1"/>
  <c r="E43" i="35"/>
  <c r="D51" i="35" s="1"/>
  <c r="E51" i="35" s="1"/>
  <c r="E48" i="35"/>
  <c r="E49" i="35"/>
  <c r="G42" i="35"/>
  <c r="F50" i="35" s="1"/>
  <c r="G50" i="35" s="1"/>
  <c r="G32" i="35"/>
  <c r="C35" i="35"/>
  <c r="G33" i="35"/>
  <c r="G30" i="35"/>
  <c r="G31" i="35"/>
  <c r="G10" i="35"/>
  <c r="G29" i="35"/>
  <c r="G11" i="35"/>
  <c r="E50" i="34"/>
  <c r="E51" i="34"/>
  <c r="E53" i="34"/>
  <c r="G43" i="34"/>
  <c r="F53" i="34" s="1"/>
  <c r="G53" i="34" s="1"/>
  <c r="G42" i="34"/>
  <c r="F52" i="34" s="1"/>
  <c r="G52" i="34" s="1"/>
  <c r="E42" i="34"/>
  <c r="D52" i="34" s="1"/>
  <c r="E52" i="34" s="1"/>
  <c r="G41" i="34"/>
  <c r="F51" i="34" s="1"/>
  <c r="G51" i="34" s="1"/>
  <c r="E41" i="34"/>
  <c r="D51" i="34" s="1"/>
  <c r="G40" i="34"/>
  <c r="F50" i="34" s="1"/>
  <c r="G50" i="34" s="1"/>
  <c r="G39" i="34"/>
  <c r="F49" i="34" s="1"/>
  <c r="G49" i="34" s="1"/>
  <c r="G38" i="34"/>
  <c r="F48" i="34" s="1"/>
  <c r="G48" i="34" s="1"/>
  <c r="E38" i="34"/>
  <c r="D48" i="34" s="1"/>
  <c r="E48" i="34" s="1"/>
  <c r="F35" i="34"/>
  <c r="E35" i="34"/>
  <c r="D35" i="34"/>
  <c r="G32" i="34" s="1"/>
  <c r="C32" i="34"/>
  <c r="G31" i="34"/>
  <c r="C31" i="34"/>
  <c r="C30" i="34"/>
  <c r="C29" i="34"/>
  <c r="C28" i="34"/>
  <c r="C27" i="34"/>
  <c r="E11" i="34"/>
  <c r="G11" i="34" s="1"/>
  <c r="E10" i="34"/>
  <c r="E8" i="34"/>
  <c r="E7" i="34"/>
  <c r="F5" i="34"/>
  <c r="C18" i="36" l="1"/>
  <c r="G18" i="36"/>
  <c r="H12" i="35"/>
  <c r="G35" i="35"/>
  <c r="G29" i="34"/>
  <c r="G28" i="34"/>
  <c r="G10" i="34"/>
  <c r="C35" i="34"/>
  <c r="H12" i="34" s="1"/>
  <c r="G27" i="34"/>
  <c r="E39" i="34"/>
  <c r="D49" i="34" s="1"/>
  <c r="E49" i="34" s="1"/>
  <c r="E40" i="34"/>
  <c r="D50" i="34" s="1"/>
  <c r="E43" i="34"/>
  <c r="D53" i="34" s="1"/>
  <c r="G30" i="34"/>
  <c r="D36" i="33"/>
  <c r="C34" i="33"/>
  <c r="C33" i="33"/>
  <c r="C32" i="33"/>
  <c r="C30" i="33"/>
  <c r="F47" i="33"/>
  <c r="G47" i="33" s="1"/>
  <c r="D47" i="33"/>
  <c r="E47" i="33" s="1"/>
  <c r="E44" i="33"/>
  <c r="D52" i="33" s="1"/>
  <c r="E52" i="33" s="1"/>
  <c r="G43" i="33"/>
  <c r="F51" i="33" s="1"/>
  <c r="G51" i="33" s="1"/>
  <c r="G42" i="33"/>
  <c r="F50" i="33" s="1"/>
  <c r="G50" i="33" s="1"/>
  <c r="E41" i="33"/>
  <c r="D49" i="33" s="1"/>
  <c r="E49" i="33" s="1"/>
  <c r="G40" i="33"/>
  <c r="F48" i="33" s="1"/>
  <c r="G48" i="33" s="1"/>
  <c r="G36" i="33"/>
  <c r="E36" i="33"/>
  <c r="C35" i="33"/>
  <c r="C31" i="33"/>
  <c r="E13" i="33"/>
  <c r="C8" i="33"/>
  <c r="E8" i="33" s="1"/>
  <c r="E7" i="33"/>
  <c r="G6" i="33"/>
  <c r="E10" i="33" s="1"/>
  <c r="F5" i="33"/>
  <c r="G35" i="34" l="1"/>
  <c r="C17" i="33"/>
  <c r="G44" i="33"/>
  <c r="F52" i="33" s="1"/>
  <c r="G52" i="33" s="1"/>
  <c r="E43" i="33"/>
  <c r="D51" i="33" s="1"/>
  <c r="E51" i="33" s="1"/>
  <c r="H34" i="33"/>
  <c r="H33" i="33"/>
  <c r="C36" i="33"/>
  <c r="H32" i="33"/>
  <c r="F36" i="33"/>
  <c r="H35" i="33"/>
  <c r="H30" i="33"/>
  <c r="E11" i="33"/>
  <c r="G41" i="33"/>
  <c r="F49" i="33" s="1"/>
  <c r="G49" i="33" s="1"/>
  <c r="H31" i="33"/>
  <c r="E42" i="33"/>
  <c r="D50" i="33" s="1"/>
  <c r="E50" i="33" s="1"/>
  <c r="E40" i="33"/>
  <c r="D48" i="33" s="1"/>
  <c r="E48" i="33" s="1"/>
  <c r="F45" i="32"/>
  <c r="G45" i="32" s="1"/>
  <c r="D45" i="32"/>
  <c r="E45" i="32" s="1"/>
  <c r="G42" i="32"/>
  <c r="F49" i="32" s="1"/>
  <c r="G49" i="32" s="1"/>
  <c r="E41" i="32"/>
  <c r="D48" i="32" s="1"/>
  <c r="E48" i="32" s="1"/>
  <c r="E40" i="32"/>
  <c r="D47" i="32" s="1"/>
  <c r="E47" i="32" s="1"/>
  <c r="G39" i="32"/>
  <c r="F46" i="32" s="1"/>
  <c r="G46" i="32" s="1"/>
  <c r="G35" i="32"/>
  <c r="E35" i="32"/>
  <c r="D35" i="32"/>
  <c r="H30" i="32" s="1"/>
  <c r="F34" i="32"/>
  <c r="F33" i="32"/>
  <c r="F32" i="32"/>
  <c r="C32" i="32"/>
  <c r="F31" i="32"/>
  <c r="C31" i="32"/>
  <c r="C30" i="32"/>
  <c r="E13" i="32"/>
  <c r="C8" i="32"/>
  <c r="E8" i="32" s="1"/>
  <c r="E7" i="32"/>
  <c r="G6" i="32"/>
  <c r="E10" i="32" s="1"/>
  <c r="F5" i="32"/>
  <c r="E42" i="32" l="1"/>
  <c r="D49" i="32" s="1"/>
  <c r="E49" i="32" s="1"/>
  <c r="H31" i="32"/>
  <c r="G41" i="32"/>
  <c r="F48" i="32" s="1"/>
  <c r="G48" i="32" s="1"/>
  <c r="C17" i="32"/>
  <c r="C35" i="32"/>
  <c r="F35" i="32"/>
  <c r="H36" i="33"/>
  <c r="G11" i="33"/>
  <c r="G12" i="33" s="1"/>
  <c r="G13" i="33"/>
  <c r="G14" i="33" s="1"/>
  <c r="E16" i="33" s="1"/>
  <c r="G10" i="33"/>
  <c r="G40" i="32"/>
  <c r="F47" i="32" s="1"/>
  <c r="G47" i="32" s="1"/>
  <c r="E11" i="32"/>
  <c r="H34" i="32"/>
  <c r="H33" i="32"/>
  <c r="E39" i="32"/>
  <c r="D46" i="32" s="1"/>
  <c r="E46" i="32" s="1"/>
  <c r="H32" i="32"/>
  <c r="H35" i="32" l="1"/>
  <c r="G16" i="33"/>
  <c r="C16" i="33" s="1"/>
  <c r="E18" i="33" s="1"/>
  <c r="G11" i="32"/>
  <c r="G12" i="32" s="1"/>
  <c r="G13" i="32"/>
  <c r="G14" i="32" s="1"/>
  <c r="E16" i="32" s="1"/>
  <c r="G10" i="32"/>
  <c r="F50" i="31"/>
  <c r="G50" i="31" s="1"/>
  <c r="D50" i="31"/>
  <c r="E50" i="31" s="1"/>
  <c r="F57" i="31"/>
  <c r="G57" i="31" s="1"/>
  <c r="G46" i="31"/>
  <c r="F56" i="31" s="1"/>
  <c r="G56" i="31" s="1"/>
  <c r="F55" i="31"/>
  <c r="G55" i="31" s="1"/>
  <c r="G54" i="31"/>
  <c r="F53" i="31"/>
  <c r="G53" i="31" s="1"/>
  <c r="D52" i="31"/>
  <c r="E52" i="31" s="1"/>
  <c r="E41" i="31"/>
  <c r="D51" i="31" s="1"/>
  <c r="E51" i="31" s="1"/>
  <c r="G37" i="31"/>
  <c r="E37" i="31"/>
  <c r="D37" i="31"/>
  <c r="H32" i="31" s="1"/>
  <c r="C35" i="31"/>
  <c r="C33" i="31"/>
  <c r="C31" i="31"/>
  <c r="C17" i="31"/>
  <c r="E13" i="31"/>
  <c r="E8" i="31"/>
  <c r="E7" i="31"/>
  <c r="G6" i="31"/>
  <c r="E10" i="31" s="1"/>
  <c r="F5" i="31"/>
  <c r="C37" i="31" l="1"/>
  <c r="H36" i="31"/>
  <c r="G41" i="31"/>
  <c r="F51" i="31" s="1"/>
  <c r="G51" i="31" s="1"/>
  <c r="D53" i="31"/>
  <c r="E53" i="31" s="1"/>
  <c r="H33" i="31"/>
  <c r="D54" i="31"/>
  <c r="E54" i="31" s="1"/>
  <c r="C18" i="33"/>
  <c r="G18" i="33"/>
  <c r="G16" i="32"/>
  <c r="C16" i="32" s="1"/>
  <c r="E18" i="32" s="1"/>
  <c r="H34" i="31"/>
  <c r="F37" i="31"/>
  <c r="E11" i="31"/>
  <c r="G11" i="31" s="1"/>
  <c r="H31" i="31"/>
  <c r="H35" i="31"/>
  <c r="F52" i="31"/>
  <c r="G52" i="31" s="1"/>
  <c r="D55" i="31"/>
  <c r="E55" i="31" s="1"/>
  <c r="E46" i="31"/>
  <c r="D56" i="31" s="1"/>
  <c r="E56" i="31" s="1"/>
  <c r="D57" i="31"/>
  <c r="E57" i="31" s="1"/>
  <c r="H37" i="31" l="1"/>
  <c r="G18" i="32"/>
  <c r="C18" i="32"/>
  <c r="G12" i="31"/>
  <c r="G10" i="31"/>
  <c r="G13" i="31"/>
  <c r="G14" i="31" s="1"/>
  <c r="E16" i="31" s="1"/>
  <c r="G16" i="31" s="1"/>
  <c r="C16" i="31" s="1"/>
  <c r="E18" i="31" s="1"/>
  <c r="G48" i="30"/>
  <c r="F59" i="30" s="1"/>
  <c r="G59" i="30" s="1"/>
  <c r="E48" i="30"/>
  <c r="D59" i="30" s="1"/>
  <c r="E59" i="30" s="1"/>
  <c r="G39" i="30"/>
  <c r="F39" i="30"/>
  <c r="E39" i="30"/>
  <c r="C32" i="30"/>
  <c r="C36" i="30"/>
  <c r="C35" i="30"/>
  <c r="C37" i="30"/>
  <c r="C34" i="30"/>
  <c r="C31" i="30"/>
  <c r="F53" i="30"/>
  <c r="G53" i="30" s="1"/>
  <c r="D53" i="30"/>
  <c r="E53" i="30" s="1"/>
  <c r="E50" i="30"/>
  <c r="D61" i="30" s="1"/>
  <c r="E61" i="30" s="1"/>
  <c r="G49" i="30"/>
  <c r="F60" i="30" s="1"/>
  <c r="G60" i="30" s="1"/>
  <c r="E49" i="30"/>
  <c r="D60" i="30" s="1"/>
  <c r="E60" i="30" s="1"/>
  <c r="G47" i="30"/>
  <c r="F58" i="30" s="1"/>
  <c r="G58" i="30" s="1"/>
  <c r="G46" i="30"/>
  <c r="F57" i="30" s="1"/>
  <c r="G57" i="30" s="1"/>
  <c r="E46" i="30"/>
  <c r="D57" i="30" s="1"/>
  <c r="E57" i="30" s="1"/>
  <c r="G45" i="30"/>
  <c r="F56" i="30" s="1"/>
  <c r="G56" i="30" s="1"/>
  <c r="G44" i="30"/>
  <c r="F55" i="30" s="1"/>
  <c r="G55" i="30" s="1"/>
  <c r="E44" i="30"/>
  <c r="D55" i="30" s="1"/>
  <c r="E55" i="30" s="1"/>
  <c r="E43" i="30"/>
  <c r="D54" i="30" s="1"/>
  <c r="E54" i="30" s="1"/>
  <c r="C38" i="30"/>
  <c r="C33" i="30"/>
  <c r="C17" i="30"/>
  <c r="E13" i="30"/>
  <c r="C8" i="30"/>
  <c r="E8" i="30" s="1"/>
  <c r="E7" i="30"/>
  <c r="G6" i="30"/>
  <c r="E11" i="30" s="1"/>
  <c r="F5" i="30"/>
  <c r="G18" i="31" l="1"/>
  <c r="C18" i="31"/>
  <c r="D39" i="30"/>
  <c r="H32" i="30" s="1"/>
  <c r="G50" i="30"/>
  <c r="F61" i="30" s="1"/>
  <c r="G61" i="30" s="1"/>
  <c r="G13" i="30"/>
  <c r="G14" i="30" s="1"/>
  <c r="E16" i="30" s="1"/>
  <c r="G11" i="30"/>
  <c r="E10" i="30"/>
  <c r="G10" i="30" s="1"/>
  <c r="G43" i="30"/>
  <c r="F54" i="30" s="1"/>
  <c r="G54" i="30" s="1"/>
  <c r="E47" i="30"/>
  <c r="D58" i="30" s="1"/>
  <c r="E58" i="30" s="1"/>
  <c r="E45" i="30"/>
  <c r="D56" i="30" s="1"/>
  <c r="E56" i="30" s="1"/>
  <c r="C30" i="30"/>
  <c r="D58" i="29"/>
  <c r="C48" i="29"/>
  <c r="E48" i="29" s="1"/>
  <c r="E58" i="29" s="1"/>
  <c r="C47" i="29"/>
  <c r="G47" i="29" s="1"/>
  <c r="F57" i="29" s="1"/>
  <c r="G57" i="29" s="1"/>
  <c r="C46" i="29"/>
  <c r="G46" i="29" s="1"/>
  <c r="F56" i="29" s="1"/>
  <c r="G56" i="29" s="1"/>
  <c r="C45" i="29"/>
  <c r="E45" i="29" s="1"/>
  <c r="D55" i="29" s="1"/>
  <c r="C44" i="29"/>
  <c r="E44" i="29" s="1"/>
  <c r="D54" i="29" s="1"/>
  <c r="C43" i="29"/>
  <c r="G43" i="29" s="1"/>
  <c r="F53" i="29" s="1"/>
  <c r="C42" i="29"/>
  <c r="F32" i="29"/>
  <c r="F33" i="29"/>
  <c r="F34" i="29"/>
  <c r="F35" i="29"/>
  <c r="F36" i="29"/>
  <c r="F37" i="29"/>
  <c r="F31" i="29"/>
  <c r="C36" i="29"/>
  <c r="C35" i="29"/>
  <c r="C34" i="29"/>
  <c r="F51" i="29"/>
  <c r="G51" i="29" s="1"/>
  <c r="D51" i="29"/>
  <c r="E51" i="29" s="1"/>
  <c r="G42" i="29"/>
  <c r="F52" i="29" s="1"/>
  <c r="G52" i="29" s="1"/>
  <c r="G38" i="29"/>
  <c r="E38" i="29"/>
  <c r="C37" i="29"/>
  <c r="C33" i="29"/>
  <c r="C32" i="29"/>
  <c r="C31" i="29"/>
  <c r="C30" i="29"/>
  <c r="E13" i="29"/>
  <c r="C8" i="29"/>
  <c r="E8" i="29" s="1"/>
  <c r="E7" i="29"/>
  <c r="G6" i="29"/>
  <c r="E10" i="29" s="1"/>
  <c r="F5" i="29"/>
  <c r="H37" i="30" l="1"/>
  <c r="H34" i="30"/>
  <c r="H31" i="30"/>
  <c r="H30" i="30"/>
  <c r="H38" i="30"/>
  <c r="H33" i="30"/>
  <c r="H35" i="30"/>
  <c r="H36" i="30"/>
  <c r="G16" i="30"/>
  <c r="C16" i="30" s="1"/>
  <c r="E18" i="30" s="1"/>
  <c r="C39" i="30"/>
  <c r="G12" i="30" s="1"/>
  <c r="E54" i="29"/>
  <c r="F38" i="29"/>
  <c r="E47" i="29"/>
  <c r="G45" i="29"/>
  <c r="F55" i="29" s="1"/>
  <c r="G55" i="29" s="1"/>
  <c r="E43" i="29"/>
  <c r="D53" i="29" s="1"/>
  <c r="E53" i="29" s="1"/>
  <c r="G44" i="29"/>
  <c r="C17" i="29"/>
  <c r="E11" i="29"/>
  <c r="G13" i="29" s="1"/>
  <c r="G14" i="29" s="1"/>
  <c r="E16" i="29" s="1"/>
  <c r="C38" i="29"/>
  <c r="E46" i="29"/>
  <c r="D38" i="29"/>
  <c r="H35" i="29" s="1"/>
  <c r="E42" i="29"/>
  <c r="D52" i="29" s="1"/>
  <c r="E52" i="29" s="1"/>
  <c r="G48" i="29"/>
  <c r="F58" i="29" s="1"/>
  <c r="G58" i="29" s="1"/>
  <c r="I38" i="2"/>
  <c r="G53" i="29" l="1"/>
  <c r="F54" i="29"/>
  <c r="G54" i="29" s="1"/>
  <c r="H39" i="30"/>
  <c r="C18" i="30"/>
  <c r="G18" i="30"/>
  <c r="D57" i="29"/>
  <c r="E57" i="29" s="1"/>
  <c r="E55" i="29"/>
  <c r="D56" i="29"/>
  <c r="E56" i="29" s="1"/>
  <c r="H36" i="29"/>
  <c r="H32" i="29"/>
  <c r="H31" i="29"/>
  <c r="H34" i="29"/>
  <c r="G11" i="29"/>
  <c r="G12" i="29" s="1"/>
  <c r="G10" i="29"/>
  <c r="G16" i="29"/>
  <c r="C16" i="29" s="1"/>
  <c r="E18" i="29" s="1"/>
  <c r="H37" i="29"/>
  <c r="H33" i="29"/>
  <c r="H30" i="29"/>
  <c r="F38" i="10"/>
  <c r="H38" i="29" l="1"/>
  <c r="G18" i="29"/>
  <c r="C18" i="29"/>
  <c r="G6" i="2" l="1"/>
  <c r="E10" i="2" s="1"/>
  <c r="E13" i="2"/>
  <c r="F5" i="2"/>
  <c r="E11" i="2" l="1"/>
  <c r="G13" i="2" s="1"/>
  <c r="G14" i="2" s="1"/>
  <c r="E16" i="2" s="1"/>
  <c r="G16" i="2" s="1"/>
  <c r="C16" i="2" s="1"/>
  <c r="C40" i="28"/>
  <c r="C41" i="28"/>
  <c r="C42" i="28"/>
  <c r="C43" i="28"/>
  <c r="C9" i="28" l="1"/>
  <c r="E43" i="28" l="1"/>
  <c r="E41" i="28"/>
  <c r="G43" i="28"/>
  <c r="H35" i="28"/>
  <c r="G41" i="28"/>
  <c r="F50" i="28" l="1"/>
  <c r="G50" i="28" s="1"/>
  <c r="D49" i="28"/>
  <c r="E49" i="28" s="1"/>
  <c r="F48" i="28"/>
  <c r="G48" i="28" s="1"/>
  <c r="E40" i="28"/>
  <c r="D47" i="28" s="1"/>
  <c r="E47" i="28" s="1"/>
  <c r="D36" i="28"/>
  <c r="C32" i="28"/>
  <c r="C6" i="28"/>
  <c r="C7" i="28"/>
  <c r="F7" i="28" s="1"/>
  <c r="G39" i="28"/>
  <c r="F46" i="28" s="1"/>
  <c r="G46" i="28" s="1"/>
  <c r="E39" i="28"/>
  <c r="D46" i="28" s="1"/>
  <c r="E46" i="28" s="1"/>
  <c r="G36" i="28"/>
  <c r="F36" i="28"/>
  <c r="E36" i="28"/>
  <c r="C35" i="28"/>
  <c r="C33" i="28"/>
  <c r="C31" i="28"/>
  <c r="E10" i="28"/>
  <c r="E9" i="28"/>
  <c r="F49" i="28" l="1"/>
  <c r="G49" i="28" s="1"/>
  <c r="D48" i="28"/>
  <c r="E48" i="28" s="1"/>
  <c r="G40" i="28"/>
  <c r="F47" i="28" s="1"/>
  <c r="G47" i="28" s="1"/>
  <c r="E12" i="28"/>
  <c r="E13" i="28"/>
  <c r="G13" i="28" s="1"/>
  <c r="C34" i="28"/>
  <c r="C36" i="28" s="1"/>
  <c r="H14" i="28" s="1"/>
  <c r="D50" i="28"/>
  <c r="E50" i="28" s="1"/>
  <c r="F63" i="18"/>
  <c r="F64" i="18"/>
  <c r="J43" i="5"/>
  <c r="H31" i="28" l="1"/>
  <c r="H32" i="28"/>
  <c r="H33" i="28"/>
  <c r="H34" i="28"/>
  <c r="G12" i="28"/>
  <c r="H36" i="28" l="1"/>
  <c r="F71" i="26" l="1"/>
  <c r="G71" i="26" s="1"/>
  <c r="E71" i="26"/>
  <c r="F70" i="26"/>
  <c r="G70" i="26" s="1"/>
  <c r="E70" i="26"/>
  <c r="F69" i="26"/>
  <c r="G69" i="26" s="1"/>
  <c r="E69" i="26"/>
  <c r="F68" i="26"/>
  <c r="G68" i="26" s="1"/>
  <c r="E68" i="26"/>
  <c r="F67" i="26"/>
  <c r="G67" i="26" s="1"/>
  <c r="E67" i="26"/>
  <c r="F66" i="26"/>
  <c r="G66" i="26" s="1"/>
  <c r="E66" i="26"/>
  <c r="F65" i="26"/>
  <c r="G65" i="26" s="1"/>
  <c r="E65" i="26"/>
  <c r="F64" i="26"/>
  <c r="G64" i="26" s="1"/>
  <c r="E64" i="26"/>
  <c r="F63" i="26"/>
  <c r="G63" i="26" s="1"/>
  <c r="E63" i="26"/>
  <c r="F62" i="26"/>
  <c r="G62" i="26" s="1"/>
  <c r="E62" i="26"/>
  <c r="F61" i="26"/>
  <c r="G61" i="26" s="1"/>
  <c r="E61" i="26"/>
  <c r="G46" i="26"/>
  <c r="E46" i="26"/>
  <c r="D46" i="26"/>
  <c r="H38" i="26" s="1"/>
  <c r="F45" i="26"/>
  <c r="C45" i="26"/>
  <c r="F44" i="26"/>
  <c r="C44" i="26"/>
  <c r="F43" i="26"/>
  <c r="C43" i="26"/>
  <c r="F42" i="26"/>
  <c r="C42" i="26"/>
  <c r="F41" i="26"/>
  <c r="C41" i="26"/>
  <c r="F40" i="26"/>
  <c r="C40" i="26"/>
  <c r="F39" i="26"/>
  <c r="C39" i="26"/>
  <c r="F38" i="26"/>
  <c r="C38" i="26"/>
  <c r="F37" i="26"/>
  <c r="C37" i="26"/>
  <c r="F36" i="26"/>
  <c r="C36" i="26"/>
  <c r="F35" i="26"/>
  <c r="C35" i="26"/>
  <c r="F34" i="26"/>
  <c r="C34" i="26"/>
  <c r="F33" i="26"/>
  <c r="C33" i="26"/>
  <c r="F32" i="26"/>
  <c r="C32" i="26"/>
  <c r="F31" i="26"/>
  <c r="C31" i="26"/>
  <c r="E13" i="26"/>
  <c r="G13" i="26" s="1"/>
  <c r="E12" i="26"/>
  <c r="C10" i="26"/>
  <c r="E10" i="26" s="1"/>
  <c r="E9" i="26"/>
  <c r="H31" i="26" l="1"/>
  <c r="H43" i="26"/>
  <c r="H35" i="26"/>
  <c r="G12" i="26"/>
  <c r="C46" i="26"/>
  <c r="H14" i="26" s="1"/>
  <c r="F46" i="26"/>
  <c r="H33" i="26"/>
  <c r="H41" i="26"/>
  <c r="H36" i="26"/>
  <c r="H44" i="26"/>
  <c r="H34" i="26"/>
  <c r="H42" i="26"/>
  <c r="H39" i="26"/>
  <c r="H37" i="26"/>
  <c r="H45" i="26"/>
  <c r="H32" i="26"/>
  <c r="H40" i="26"/>
  <c r="H46" i="26" l="1"/>
  <c r="D86" i="25"/>
  <c r="D85" i="25"/>
  <c r="C46" i="25"/>
  <c r="H46" i="25"/>
  <c r="E74" i="25"/>
  <c r="D74" i="25"/>
  <c r="E75" i="25"/>
  <c r="D75" i="25"/>
  <c r="C63" i="25"/>
  <c r="C62" i="25"/>
  <c r="C61" i="25"/>
  <c r="C59" i="25"/>
  <c r="C58" i="25"/>
  <c r="E58" i="25" s="1"/>
  <c r="C57" i="25"/>
  <c r="E57" i="25" s="1"/>
  <c r="C56" i="25"/>
  <c r="C55" i="25"/>
  <c r="C54" i="25"/>
  <c r="C53" i="25"/>
  <c r="C50" i="25"/>
  <c r="G46" i="25"/>
  <c r="F46" i="25"/>
  <c r="E46" i="25"/>
  <c r="D40" i="25"/>
  <c r="C40" i="25" s="1"/>
  <c r="D39" i="25"/>
  <c r="D33" i="25"/>
  <c r="D34" i="25"/>
  <c r="D35" i="25"/>
  <c r="D36" i="25"/>
  <c r="D37" i="25"/>
  <c r="D38" i="25"/>
  <c r="D41" i="25"/>
  <c r="D42" i="25"/>
  <c r="D43" i="25"/>
  <c r="D44" i="25"/>
  <c r="D45" i="25"/>
  <c r="D32" i="25"/>
  <c r="G58" i="25" l="1"/>
  <c r="F75" i="25" s="1"/>
  <c r="G75" i="25" s="1"/>
  <c r="D46" i="25"/>
  <c r="G57" i="25"/>
  <c r="F74" i="25" s="1"/>
  <c r="G74" i="25" s="1"/>
  <c r="C39" i="25"/>
  <c r="J38" i="2"/>
  <c r="K38" i="2"/>
  <c r="G38" i="2"/>
  <c r="F38" i="2"/>
  <c r="E38" i="2"/>
  <c r="D31" i="2"/>
  <c r="D32" i="2"/>
  <c r="D33" i="2"/>
  <c r="D34" i="2"/>
  <c r="D35" i="2"/>
  <c r="D36" i="2"/>
  <c r="D37" i="2"/>
  <c r="D30" i="2"/>
  <c r="D38" i="2" l="1"/>
  <c r="C48" i="2"/>
  <c r="G48" i="2" s="1"/>
  <c r="C46" i="2"/>
  <c r="E48" i="2" l="1"/>
  <c r="C55" i="13" l="1"/>
  <c r="C54" i="13"/>
  <c r="C53" i="13"/>
  <c r="C52" i="13"/>
  <c r="C51" i="13"/>
  <c r="C50" i="13"/>
  <c r="C49" i="13"/>
  <c r="C48" i="13"/>
  <c r="C47" i="13"/>
  <c r="E59" i="25" l="1"/>
  <c r="D76" i="25" s="1"/>
  <c r="E76" i="25" s="1"/>
  <c r="E63" i="25"/>
  <c r="D80" i="25" s="1"/>
  <c r="E80" i="25" s="1"/>
  <c r="E55" i="25"/>
  <c r="G54" i="25"/>
  <c r="F71" i="25" s="1"/>
  <c r="G71" i="25" s="1"/>
  <c r="E53" i="25"/>
  <c r="G62" i="25"/>
  <c r="F79" i="25" s="1"/>
  <c r="G79" i="25" s="1"/>
  <c r="G61" i="25"/>
  <c r="F78" i="25" s="1"/>
  <c r="G78" i="25" s="1"/>
  <c r="G60" i="25"/>
  <c r="F77" i="25" s="1"/>
  <c r="G77" i="25" s="1"/>
  <c r="G56" i="25"/>
  <c r="F73" i="25" s="1"/>
  <c r="G73" i="25" s="1"/>
  <c r="G52" i="25"/>
  <c r="F69" i="25" s="1"/>
  <c r="G69" i="25" s="1"/>
  <c r="E62" i="25"/>
  <c r="D79" i="25" s="1"/>
  <c r="E79" i="25" s="1"/>
  <c r="E61" i="25"/>
  <c r="D78" i="25" s="1"/>
  <c r="E78" i="25" s="1"/>
  <c r="E60" i="25"/>
  <c r="D77" i="25" s="1"/>
  <c r="E77" i="25" s="1"/>
  <c r="E56" i="25"/>
  <c r="D73" i="25" s="1"/>
  <c r="E73" i="25" s="1"/>
  <c r="E52" i="25"/>
  <c r="E50" i="25"/>
  <c r="E51" i="25"/>
  <c r="D68" i="25" s="1"/>
  <c r="E68" i="25" s="1"/>
  <c r="C45" i="25"/>
  <c r="C44" i="25"/>
  <c r="C43" i="25"/>
  <c r="C42" i="25"/>
  <c r="C36" i="25"/>
  <c r="C35" i="25"/>
  <c r="C31" i="25"/>
  <c r="C34" i="25"/>
  <c r="C10" i="25"/>
  <c r="E10" i="25" s="1"/>
  <c r="G50" i="25"/>
  <c r="F67" i="25" s="1"/>
  <c r="G67" i="25" s="1"/>
  <c r="G49" i="25"/>
  <c r="F66" i="25" s="1"/>
  <c r="G66" i="25" s="1"/>
  <c r="E49" i="25"/>
  <c r="D66" i="25" s="1"/>
  <c r="E66" i="25" s="1"/>
  <c r="H40" i="25"/>
  <c r="C41" i="25"/>
  <c r="C38" i="25"/>
  <c r="C37" i="25"/>
  <c r="C33" i="25"/>
  <c r="C32" i="25"/>
  <c r="E13" i="25"/>
  <c r="E12" i="25"/>
  <c r="F7" i="25"/>
  <c r="H32" i="25" l="1"/>
  <c r="H39" i="25"/>
  <c r="G63" i="25"/>
  <c r="F80" i="25" s="1"/>
  <c r="G80" i="25" s="1"/>
  <c r="G59" i="25"/>
  <c r="F76" i="25" s="1"/>
  <c r="G76" i="25" s="1"/>
  <c r="E54" i="25"/>
  <c r="D71" i="25" s="1"/>
  <c r="E71" i="25" s="1"/>
  <c r="G53" i="25"/>
  <c r="F70" i="25" s="1"/>
  <c r="G70" i="25" s="1"/>
  <c r="D72" i="25"/>
  <c r="E72" i="25" s="1"/>
  <c r="H31" i="25"/>
  <c r="H42" i="25"/>
  <c r="H45" i="25"/>
  <c r="H43" i="25"/>
  <c r="H44" i="25"/>
  <c r="H34" i="25"/>
  <c r="H35" i="25"/>
  <c r="D70" i="25"/>
  <c r="E70" i="25" s="1"/>
  <c r="H33" i="25"/>
  <c r="H36" i="25"/>
  <c r="H38" i="25"/>
  <c r="H41" i="25"/>
  <c r="G51" i="25"/>
  <c r="F68" i="25" s="1"/>
  <c r="G68" i="25" s="1"/>
  <c r="H37" i="25"/>
  <c r="D69" i="25"/>
  <c r="E69" i="25" s="1"/>
  <c r="E9" i="25"/>
  <c r="G12" i="25"/>
  <c r="G13" i="25"/>
  <c r="G55" i="25"/>
  <c r="F72" i="25" s="1"/>
  <c r="G72" i="25" s="1"/>
  <c r="D67" i="25"/>
  <c r="E67" i="25" s="1"/>
  <c r="H14" i="25" l="1"/>
  <c r="E37" i="13"/>
  <c r="E33" i="13"/>
  <c r="C51" i="22" l="1"/>
  <c r="G51" i="22" s="1"/>
  <c r="F62" i="22" s="1"/>
  <c r="G62" i="22" s="1"/>
  <c r="C50" i="22"/>
  <c r="E50" i="22" s="1"/>
  <c r="D61" i="22" s="1"/>
  <c r="E61" i="22" s="1"/>
  <c r="C49" i="22"/>
  <c r="G49" i="22" s="1"/>
  <c r="F60" i="22" s="1"/>
  <c r="G60" i="22" s="1"/>
  <c r="C48" i="22"/>
  <c r="G48" i="22" s="1"/>
  <c r="F59" i="22" s="1"/>
  <c r="G59" i="22" s="1"/>
  <c r="E47" i="22"/>
  <c r="D58" i="22" s="1"/>
  <c r="E58" i="22" s="1"/>
  <c r="C47" i="22"/>
  <c r="G47" i="22" s="1"/>
  <c r="F58" i="22" s="1"/>
  <c r="G58" i="22" s="1"/>
  <c r="E46" i="22"/>
  <c r="D57" i="22" s="1"/>
  <c r="E57" i="22" s="1"/>
  <c r="C46" i="22"/>
  <c r="G46" i="22" s="1"/>
  <c r="F57" i="22" s="1"/>
  <c r="G57" i="22" s="1"/>
  <c r="G45" i="22"/>
  <c r="F56" i="22" s="1"/>
  <c r="G56" i="22" s="1"/>
  <c r="E45" i="22"/>
  <c r="D56" i="22" s="1"/>
  <c r="E56" i="22" s="1"/>
  <c r="C45" i="22"/>
  <c r="G44" i="22"/>
  <c r="F55" i="22" s="1"/>
  <c r="G55" i="22" s="1"/>
  <c r="C44" i="22"/>
  <c r="E44" i="22" s="1"/>
  <c r="D55" i="22" s="1"/>
  <c r="E55" i="22" s="1"/>
  <c r="G43" i="22"/>
  <c r="F54" i="22" s="1"/>
  <c r="G54" i="22" s="1"/>
  <c r="E43" i="22"/>
  <c r="D54" i="22" s="1"/>
  <c r="E54" i="22" s="1"/>
  <c r="G40" i="22"/>
  <c r="F40" i="22"/>
  <c r="D40" i="22"/>
  <c r="H39" i="22"/>
  <c r="E39" i="22"/>
  <c r="C39" i="22"/>
  <c r="H38" i="22"/>
  <c r="E38" i="22"/>
  <c r="C38" i="22"/>
  <c r="H37" i="22"/>
  <c r="E37" i="22"/>
  <c r="C37" i="22"/>
  <c r="H36" i="22"/>
  <c r="E36" i="22"/>
  <c r="C36" i="22"/>
  <c r="H35" i="22"/>
  <c r="E35" i="22"/>
  <c r="C35" i="22"/>
  <c r="H34" i="22"/>
  <c r="E34" i="22"/>
  <c r="E40" i="22" s="1"/>
  <c r="C34" i="22"/>
  <c r="H33" i="22"/>
  <c r="E33" i="22"/>
  <c r="C33" i="22"/>
  <c r="H32" i="22"/>
  <c r="E32" i="22"/>
  <c r="C32" i="22"/>
  <c r="H31" i="22"/>
  <c r="H40" i="22" s="1"/>
  <c r="C31" i="22"/>
  <c r="C40" i="22" s="1"/>
  <c r="E13" i="22"/>
  <c r="G13" i="22" s="1"/>
  <c r="H14" i="22" s="1"/>
  <c r="G12" i="22"/>
  <c r="E12" i="22"/>
  <c r="C10" i="22"/>
  <c r="E10" i="22" s="1"/>
  <c r="E9" i="22"/>
  <c r="F7" i="22"/>
  <c r="F57" i="21"/>
  <c r="G57" i="21" s="1"/>
  <c r="D56" i="21"/>
  <c r="E56" i="21" s="1"/>
  <c r="F55" i="21"/>
  <c r="G55" i="21" s="1"/>
  <c r="F54" i="21"/>
  <c r="G54" i="21" s="1"/>
  <c r="D53" i="21"/>
  <c r="E53" i="21" s="1"/>
  <c r="F52" i="21"/>
  <c r="G52" i="21" s="1"/>
  <c r="F51" i="21"/>
  <c r="G51" i="21" s="1"/>
  <c r="G39" i="21"/>
  <c r="F50" i="21" s="1"/>
  <c r="G50" i="21" s="1"/>
  <c r="G38" i="21"/>
  <c r="F49" i="21" s="1"/>
  <c r="G49" i="21" s="1"/>
  <c r="E38" i="21"/>
  <c r="D49" i="21" s="1"/>
  <c r="E49" i="21" s="1"/>
  <c r="G35" i="21"/>
  <c r="F35" i="21"/>
  <c r="D35" i="21"/>
  <c r="H32" i="21" s="1"/>
  <c r="C32" i="21"/>
  <c r="C31" i="21"/>
  <c r="E13" i="21"/>
  <c r="G13" i="21" s="1"/>
  <c r="E12" i="21"/>
  <c r="G12" i="21" s="1"/>
  <c r="C10" i="21"/>
  <c r="E10" i="21" s="1"/>
  <c r="E9" i="21"/>
  <c r="F7" i="21"/>
  <c r="G65" i="20"/>
  <c r="F83" i="20" s="1"/>
  <c r="G83" i="20" s="1"/>
  <c r="E65" i="20"/>
  <c r="D83" i="20" s="1"/>
  <c r="E83" i="20" s="1"/>
  <c r="G64" i="20"/>
  <c r="F82" i="20" s="1"/>
  <c r="G82" i="20" s="1"/>
  <c r="E64" i="20"/>
  <c r="D82" i="20" s="1"/>
  <c r="E82" i="20" s="1"/>
  <c r="G63" i="20"/>
  <c r="F81" i="20" s="1"/>
  <c r="G81" i="20" s="1"/>
  <c r="E63" i="20"/>
  <c r="D81" i="20" s="1"/>
  <c r="E81" i="20" s="1"/>
  <c r="G62" i="20"/>
  <c r="F80" i="20" s="1"/>
  <c r="G80" i="20" s="1"/>
  <c r="E62" i="20"/>
  <c r="D80" i="20" s="1"/>
  <c r="E80" i="20" s="1"/>
  <c r="G61" i="20"/>
  <c r="F79" i="20" s="1"/>
  <c r="G79" i="20" s="1"/>
  <c r="E61" i="20"/>
  <c r="D79" i="20" s="1"/>
  <c r="E79" i="20" s="1"/>
  <c r="G60" i="20"/>
  <c r="F78" i="20" s="1"/>
  <c r="G78" i="20" s="1"/>
  <c r="E60" i="20"/>
  <c r="D78" i="20" s="1"/>
  <c r="E78" i="20" s="1"/>
  <c r="G59" i="20"/>
  <c r="F77" i="20" s="1"/>
  <c r="G77" i="20" s="1"/>
  <c r="E59" i="20"/>
  <c r="D77" i="20" s="1"/>
  <c r="E77" i="20" s="1"/>
  <c r="G58" i="20"/>
  <c r="F76" i="20" s="1"/>
  <c r="G76" i="20" s="1"/>
  <c r="E58" i="20"/>
  <c r="D76" i="20" s="1"/>
  <c r="E76" i="20" s="1"/>
  <c r="G57" i="20"/>
  <c r="F75" i="20" s="1"/>
  <c r="G75" i="20" s="1"/>
  <c r="E57" i="20"/>
  <c r="D75" i="20" s="1"/>
  <c r="E75" i="20" s="1"/>
  <c r="G56" i="20"/>
  <c r="F74" i="20" s="1"/>
  <c r="G74" i="20" s="1"/>
  <c r="E56" i="20"/>
  <c r="D74" i="20" s="1"/>
  <c r="E74" i="20" s="1"/>
  <c r="G55" i="20"/>
  <c r="F73" i="20" s="1"/>
  <c r="G73" i="20" s="1"/>
  <c r="E55" i="20"/>
  <c r="D73" i="20" s="1"/>
  <c r="E73" i="20" s="1"/>
  <c r="G54" i="20"/>
  <c r="F72" i="20" s="1"/>
  <c r="G72" i="20" s="1"/>
  <c r="E54" i="20"/>
  <c r="D72" i="20" s="1"/>
  <c r="E72" i="20" s="1"/>
  <c r="G53" i="20"/>
  <c r="F71" i="20" s="1"/>
  <c r="G71" i="20" s="1"/>
  <c r="E53" i="20"/>
  <c r="D71" i="20" s="1"/>
  <c r="E71" i="20" s="1"/>
  <c r="G52" i="20"/>
  <c r="F70" i="20" s="1"/>
  <c r="G70" i="20" s="1"/>
  <c r="E52" i="20"/>
  <c r="D70" i="20" s="1"/>
  <c r="E70" i="20" s="1"/>
  <c r="G51" i="20"/>
  <c r="F69" i="20" s="1"/>
  <c r="G69" i="20" s="1"/>
  <c r="E51" i="20"/>
  <c r="D69" i="20" s="1"/>
  <c r="E69" i="20" s="1"/>
  <c r="G50" i="20"/>
  <c r="F68" i="20" s="1"/>
  <c r="G68" i="20" s="1"/>
  <c r="E50" i="20"/>
  <c r="D68" i="20" s="1"/>
  <c r="E68" i="20" s="1"/>
  <c r="H47" i="20"/>
  <c r="F47" i="20"/>
  <c r="E47" i="20"/>
  <c r="D47" i="20"/>
  <c r="G45" i="20" s="1"/>
  <c r="C46" i="20"/>
  <c r="C45" i="20"/>
  <c r="C44" i="20"/>
  <c r="C43" i="20"/>
  <c r="C42" i="20"/>
  <c r="C41" i="20"/>
  <c r="C40" i="20"/>
  <c r="C39" i="20"/>
  <c r="C38" i="20"/>
  <c r="C37" i="20"/>
  <c r="C36" i="20"/>
  <c r="G35" i="20"/>
  <c r="C35" i="20"/>
  <c r="C34" i="20"/>
  <c r="C33" i="20"/>
  <c r="C32" i="20"/>
  <c r="C31" i="20"/>
  <c r="E13" i="20"/>
  <c r="E12" i="20"/>
  <c r="C10" i="20"/>
  <c r="E10" i="20" s="1"/>
  <c r="E9" i="20"/>
  <c r="F7" i="20"/>
  <c r="D57" i="19"/>
  <c r="E57" i="19" s="1"/>
  <c r="D56" i="19"/>
  <c r="E56" i="19" s="1"/>
  <c r="D53" i="19"/>
  <c r="E53" i="19" s="1"/>
  <c r="D52" i="19"/>
  <c r="E52" i="19" s="1"/>
  <c r="G45" i="19"/>
  <c r="F57" i="19" s="1"/>
  <c r="G57" i="19" s="1"/>
  <c r="E45" i="19"/>
  <c r="G44" i="19"/>
  <c r="F56" i="19" s="1"/>
  <c r="G56" i="19" s="1"/>
  <c r="E44" i="19"/>
  <c r="G43" i="19"/>
  <c r="F55" i="19" s="1"/>
  <c r="G55" i="19" s="1"/>
  <c r="E43" i="19"/>
  <c r="D55" i="19" s="1"/>
  <c r="E55" i="19" s="1"/>
  <c r="G42" i="19"/>
  <c r="F54" i="19" s="1"/>
  <c r="G54" i="19" s="1"/>
  <c r="E42" i="19"/>
  <c r="D54" i="19" s="1"/>
  <c r="E54" i="19" s="1"/>
  <c r="G41" i="19"/>
  <c r="F53" i="19" s="1"/>
  <c r="G53" i="19" s="1"/>
  <c r="E41" i="19"/>
  <c r="G40" i="19"/>
  <c r="F52" i="19" s="1"/>
  <c r="G52" i="19" s="1"/>
  <c r="E40" i="19"/>
  <c r="H37" i="19"/>
  <c r="F37" i="19"/>
  <c r="E37" i="19"/>
  <c r="D37" i="19"/>
  <c r="G35" i="19" s="1"/>
  <c r="C36" i="19"/>
  <c r="C35" i="19"/>
  <c r="C34" i="19"/>
  <c r="G33" i="19"/>
  <c r="C33" i="19"/>
  <c r="C32" i="19"/>
  <c r="C31" i="19"/>
  <c r="C37" i="19" s="1"/>
  <c r="E13" i="19"/>
  <c r="G13" i="19" s="1"/>
  <c r="E12" i="19"/>
  <c r="E10" i="19"/>
  <c r="C10" i="19"/>
  <c r="E9" i="19"/>
  <c r="F7" i="19"/>
  <c r="D62" i="18"/>
  <c r="E62" i="18" s="1"/>
  <c r="F61" i="18"/>
  <c r="G61" i="18" s="1"/>
  <c r="D60" i="18"/>
  <c r="E60" i="18" s="1"/>
  <c r="F59" i="18"/>
  <c r="G59" i="18" s="1"/>
  <c r="D58" i="18"/>
  <c r="E58" i="18" s="1"/>
  <c r="F57" i="18"/>
  <c r="G57" i="18" s="1"/>
  <c r="D56" i="18"/>
  <c r="E56" i="18" s="1"/>
  <c r="G53" i="18"/>
  <c r="F65" i="18" s="1"/>
  <c r="G65" i="18" s="1"/>
  <c r="E53" i="18"/>
  <c r="D65" i="18" s="1"/>
  <c r="E65" i="18" s="1"/>
  <c r="D53" i="18"/>
  <c r="C53" i="18"/>
  <c r="D52" i="18"/>
  <c r="C52" i="18"/>
  <c r="G52" i="18" s="1"/>
  <c r="G64" i="18" s="1"/>
  <c r="G51" i="18"/>
  <c r="G63" i="18" s="1"/>
  <c r="E51" i="18"/>
  <c r="D63" i="18" s="1"/>
  <c r="E63" i="18" s="1"/>
  <c r="D51" i="18"/>
  <c r="C51" i="18"/>
  <c r="G50" i="18"/>
  <c r="F62" i="18" s="1"/>
  <c r="G62" i="18" s="1"/>
  <c r="E50" i="18"/>
  <c r="C50" i="18"/>
  <c r="G49" i="18"/>
  <c r="D49" i="18"/>
  <c r="E49" i="18" s="1"/>
  <c r="D61" i="18" s="1"/>
  <c r="E61" i="18" s="1"/>
  <c r="C49" i="18"/>
  <c r="G48" i="18"/>
  <c r="F60" i="18" s="1"/>
  <c r="G60" i="18" s="1"/>
  <c r="E48" i="18"/>
  <c r="D48" i="18"/>
  <c r="C48" i="18"/>
  <c r="G47" i="18"/>
  <c r="D47" i="18"/>
  <c r="E47" i="18" s="1"/>
  <c r="D59" i="18" s="1"/>
  <c r="E59" i="18" s="1"/>
  <c r="C47" i="18"/>
  <c r="G46" i="18"/>
  <c r="F58" i="18" s="1"/>
  <c r="G58" i="18" s="1"/>
  <c r="E46" i="18"/>
  <c r="D46" i="18"/>
  <c r="C46" i="18"/>
  <c r="G45" i="18"/>
  <c r="E45" i="18"/>
  <c r="D57" i="18" s="1"/>
  <c r="E57" i="18" s="1"/>
  <c r="G44" i="18"/>
  <c r="F56" i="18" s="1"/>
  <c r="G56" i="18" s="1"/>
  <c r="E44" i="18"/>
  <c r="H41" i="18"/>
  <c r="F41" i="18"/>
  <c r="D41" i="18"/>
  <c r="G39" i="18" s="1"/>
  <c r="G40" i="18"/>
  <c r="E40" i="18"/>
  <c r="C40" i="18"/>
  <c r="E39" i="18"/>
  <c r="C39" i="18"/>
  <c r="G38" i="18"/>
  <c r="E38" i="18"/>
  <c r="C38" i="18"/>
  <c r="E37" i="18"/>
  <c r="C37" i="18"/>
  <c r="E36" i="18"/>
  <c r="C36" i="18"/>
  <c r="G35" i="18"/>
  <c r="E35" i="18"/>
  <c r="C35" i="18"/>
  <c r="E34" i="18"/>
  <c r="C34" i="18"/>
  <c r="E33" i="18"/>
  <c r="E41" i="18" s="1"/>
  <c r="C33" i="18"/>
  <c r="C41" i="18" s="1"/>
  <c r="G32" i="18"/>
  <c r="C32" i="18"/>
  <c r="C31" i="18"/>
  <c r="E13" i="18"/>
  <c r="G13" i="18" s="1"/>
  <c r="H14" i="18" s="1"/>
  <c r="E12" i="18"/>
  <c r="G12" i="18" s="1"/>
  <c r="C10" i="18"/>
  <c r="E10" i="18" s="1"/>
  <c r="E9" i="18"/>
  <c r="F7" i="18"/>
  <c r="G53" i="17"/>
  <c r="F65" i="17" s="1"/>
  <c r="G65" i="17" s="1"/>
  <c r="E53" i="17"/>
  <c r="D65" i="17" s="1"/>
  <c r="E65" i="17" s="1"/>
  <c r="G52" i="17"/>
  <c r="F64" i="17" s="1"/>
  <c r="G64" i="17" s="1"/>
  <c r="E52" i="17"/>
  <c r="D64" i="17" s="1"/>
  <c r="E64" i="17" s="1"/>
  <c r="G51" i="17"/>
  <c r="F63" i="17" s="1"/>
  <c r="G63" i="17" s="1"/>
  <c r="E51" i="17"/>
  <c r="D63" i="17" s="1"/>
  <c r="E63" i="17" s="1"/>
  <c r="G50" i="17"/>
  <c r="F62" i="17" s="1"/>
  <c r="G62" i="17" s="1"/>
  <c r="E50" i="17"/>
  <c r="D62" i="17" s="1"/>
  <c r="E62" i="17" s="1"/>
  <c r="G49" i="17"/>
  <c r="F61" i="17" s="1"/>
  <c r="G61" i="17" s="1"/>
  <c r="E49" i="17"/>
  <c r="D61" i="17" s="1"/>
  <c r="E61" i="17" s="1"/>
  <c r="G48" i="17"/>
  <c r="F60" i="17" s="1"/>
  <c r="G60" i="17" s="1"/>
  <c r="E48" i="17"/>
  <c r="D60" i="17" s="1"/>
  <c r="E60" i="17" s="1"/>
  <c r="G47" i="17"/>
  <c r="F59" i="17" s="1"/>
  <c r="G59" i="17" s="1"/>
  <c r="E47" i="17"/>
  <c r="D59" i="17" s="1"/>
  <c r="E59" i="17" s="1"/>
  <c r="G46" i="17"/>
  <c r="F58" i="17" s="1"/>
  <c r="G58" i="17" s="1"/>
  <c r="E46" i="17"/>
  <c r="D58" i="17" s="1"/>
  <c r="E58" i="17" s="1"/>
  <c r="G45" i="17"/>
  <c r="F57" i="17" s="1"/>
  <c r="G57" i="17" s="1"/>
  <c r="E45" i="17"/>
  <c r="D57" i="17" s="1"/>
  <c r="E57" i="17" s="1"/>
  <c r="G44" i="17"/>
  <c r="F56" i="17" s="1"/>
  <c r="G56" i="17" s="1"/>
  <c r="E44" i="17"/>
  <c r="D56" i="17" s="1"/>
  <c r="E56" i="17" s="1"/>
  <c r="H41" i="17"/>
  <c r="F41" i="17"/>
  <c r="D41" i="17"/>
  <c r="G33" i="17" s="1"/>
  <c r="E40" i="17"/>
  <c r="C40" i="17"/>
  <c r="E39" i="17"/>
  <c r="C39" i="17"/>
  <c r="E38" i="17"/>
  <c r="C38" i="17"/>
  <c r="E37" i="17"/>
  <c r="C37" i="17"/>
  <c r="E36" i="17"/>
  <c r="C36" i="17"/>
  <c r="E35" i="17"/>
  <c r="C35" i="17"/>
  <c r="E34" i="17"/>
  <c r="C34" i="17"/>
  <c r="E33" i="17"/>
  <c r="C33" i="17"/>
  <c r="E32" i="17"/>
  <c r="C32" i="17"/>
  <c r="C31" i="17"/>
  <c r="E13" i="17"/>
  <c r="G13" i="17" s="1"/>
  <c r="E12" i="17"/>
  <c r="C10" i="17"/>
  <c r="E10" i="17" s="1"/>
  <c r="E9" i="17"/>
  <c r="F7" i="17"/>
  <c r="D67" i="16"/>
  <c r="E67" i="16" s="1"/>
  <c r="G57" i="16"/>
  <c r="F71" i="16" s="1"/>
  <c r="G71" i="16" s="1"/>
  <c r="E57" i="16"/>
  <c r="D71" i="16" s="1"/>
  <c r="E71" i="16" s="1"/>
  <c r="G56" i="16"/>
  <c r="F70" i="16" s="1"/>
  <c r="G70" i="16" s="1"/>
  <c r="E56" i="16"/>
  <c r="D70" i="16" s="1"/>
  <c r="E70" i="16" s="1"/>
  <c r="G55" i="16"/>
  <c r="F69" i="16" s="1"/>
  <c r="G69" i="16" s="1"/>
  <c r="E55" i="16"/>
  <c r="D69" i="16" s="1"/>
  <c r="E69" i="16" s="1"/>
  <c r="G54" i="16"/>
  <c r="F68" i="16" s="1"/>
  <c r="G68" i="16" s="1"/>
  <c r="E54" i="16"/>
  <c r="D68" i="16" s="1"/>
  <c r="E68" i="16" s="1"/>
  <c r="G53" i="16"/>
  <c r="F67" i="16" s="1"/>
  <c r="G67" i="16" s="1"/>
  <c r="E53" i="16"/>
  <c r="G52" i="16"/>
  <c r="F66" i="16" s="1"/>
  <c r="G66" i="16" s="1"/>
  <c r="E52" i="16"/>
  <c r="D66" i="16" s="1"/>
  <c r="E66" i="16" s="1"/>
  <c r="G51" i="16"/>
  <c r="F65" i="16" s="1"/>
  <c r="G65" i="16" s="1"/>
  <c r="E51" i="16"/>
  <c r="D65" i="16" s="1"/>
  <c r="E65" i="16" s="1"/>
  <c r="G50" i="16"/>
  <c r="F64" i="16" s="1"/>
  <c r="G64" i="16" s="1"/>
  <c r="E50" i="16"/>
  <c r="D64" i="16" s="1"/>
  <c r="E64" i="16" s="1"/>
  <c r="G49" i="16"/>
  <c r="F63" i="16" s="1"/>
  <c r="G63" i="16" s="1"/>
  <c r="E49" i="16"/>
  <c r="D63" i="16" s="1"/>
  <c r="E63" i="16" s="1"/>
  <c r="G48" i="16"/>
  <c r="F62" i="16" s="1"/>
  <c r="G62" i="16" s="1"/>
  <c r="E48" i="16"/>
  <c r="D62" i="16" s="1"/>
  <c r="E62" i="16" s="1"/>
  <c r="G47" i="16"/>
  <c r="F61" i="16" s="1"/>
  <c r="G61" i="16" s="1"/>
  <c r="E47" i="16"/>
  <c r="D61" i="16" s="1"/>
  <c r="E61" i="16" s="1"/>
  <c r="G46" i="16"/>
  <c r="F60" i="16" s="1"/>
  <c r="G60" i="16" s="1"/>
  <c r="E46" i="16"/>
  <c r="D60" i="16" s="1"/>
  <c r="E60" i="16" s="1"/>
  <c r="H43" i="16"/>
  <c r="E43" i="16"/>
  <c r="D43" i="16"/>
  <c r="G42" i="16"/>
  <c r="F42" i="16"/>
  <c r="C42" i="16"/>
  <c r="G41" i="16"/>
  <c r="F41" i="16"/>
  <c r="C41" i="16"/>
  <c r="G40" i="16"/>
  <c r="F40" i="16"/>
  <c r="C40" i="16"/>
  <c r="G39" i="16"/>
  <c r="F39" i="16"/>
  <c r="C39" i="16"/>
  <c r="G38" i="16"/>
  <c r="F38" i="16"/>
  <c r="C38" i="16"/>
  <c r="G37" i="16"/>
  <c r="F37" i="16"/>
  <c r="C37" i="16"/>
  <c r="G36" i="16"/>
  <c r="F36" i="16"/>
  <c r="C36" i="16"/>
  <c r="G35" i="16"/>
  <c r="F35" i="16"/>
  <c r="C35" i="16"/>
  <c r="G34" i="16"/>
  <c r="F34" i="16"/>
  <c r="C34" i="16"/>
  <c r="G33" i="16"/>
  <c r="G43" i="16" s="1"/>
  <c r="F33" i="16"/>
  <c r="F43" i="16" s="1"/>
  <c r="C33" i="16"/>
  <c r="G32" i="16"/>
  <c r="F32" i="16"/>
  <c r="C32" i="16"/>
  <c r="G31" i="16"/>
  <c r="F31" i="16"/>
  <c r="C31" i="16"/>
  <c r="C43" i="16" s="1"/>
  <c r="H14" i="16" s="1"/>
  <c r="G13" i="16"/>
  <c r="E13" i="16"/>
  <c r="E12" i="16"/>
  <c r="G12" i="16" s="1"/>
  <c r="C10" i="16"/>
  <c r="E10" i="16" s="1"/>
  <c r="E9" i="16"/>
  <c r="F7" i="16"/>
  <c r="C6" i="16"/>
  <c r="G72" i="15"/>
  <c r="F89" i="15" s="1"/>
  <c r="G89" i="15" s="1"/>
  <c r="E72" i="15"/>
  <c r="D89" i="15" s="1"/>
  <c r="E89" i="15" s="1"/>
  <c r="G71" i="15"/>
  <c r="F88" i="15" s="1"/>
  <c r="G88" i="15" s="1"/>
  <c r="E71" i="15"/>
  <c r="D88" i="15" s="1"/>
  <c r="E88" i="15" s="1"/>
  <c r="G70" i="15"/>
  <c r="F87" i="15" s="1"/>
  <c r="G87" i="15" s="1"/>
  <c r="E70" i="15"/>
  <c r="D87" i="15" s="1"/>
  <c r="E87" i="15" s="1"/>
  <c r="G69" i="15"/>
  <c r="F86" i="15" s="1"/>
  <c r="G86" i="15" s="1"/>
  <c r="E69" i="15"/>
  <c r="D86" i="15" s="1"/>
  <c r="E86" i="15" s="1"/>
  <c r="G68" i="15"/>
  <c r="F85" i="15" s="1"/>
  <c r="G85" i="15" s="1"/>
  <c r="E68" i="15"/>
  <c r="D85" i="15" s="1"/>
  <c r="E85" i="15" s="1"/>
  <c r="G67" i="15"/>
  <c r="F84" i="15" s="1"/>
  <c r="G84" i="15" s="1"/>
  <c r="E67" i="15"/>
  <c r="D84" i="15" s="1"/>
  <c r="E84" i="15" s="1"/>
  <c r="G66" i="15"/>
  <c r="F83" i="15" s="1"/>
  <c r="G83" i="15" s="1"/>
  <c r="E66" i="15"/>
  <c r="D83" i="15" s="1"/>
  <c r="E83" i="15" s="1"/>
  <c r="G65" i="15"/>
  <c r="F82" i="15" s="1"/>
  <c r="G82" i="15" s="1"/>
  <c r="E65" i="15"/>
  <c r="D82" i="15" s="1"/>
  <c r="E82" i="15" s="1"/>
  <c r="G64" i="15"/>
  <c r="F81" i="15" s="1"/>
  <c r="G81" i="15" s="1"/>
  <c r="E64" i="15"/>
  <c r="D81" i="15" s="1"/>
  <c r="E81" i="15" s="1"/>
  <c r="G63" i="15"/>
  <c r="F80" i="15" s="1"/>
  <c r="G80" i="15" s="1"/>
  <c r="E63" i="15"/>
  <c r="D80" i="15" s="1"/>
  <c r="E80" i="15" s="1"/>
  <c r="G62" i="15"/>
  <c r="F79" i="15" s="1"/>
  <c r="G79" i="15" s="1"/>
  <c r="E62" i="15"/>
  <c r="D79" i="15" s="1"/>
  <c r="E79" i="15" s="1"/>
  <c r="G61" i="15"/>
  <c r="F78" i="15" s="1"/>
  <c r="G78" i="15" s="1"/>
  <c r="E61" i="15"/>
  <c r="D78" i="15" s="1"/>
  <c r="E78" i="15" s="1"/>
  <c r="G60" i="15"/>
  <c r="F77" i="15" s="1"/>
  <c r="G77" i="15" s="1"/>
  <c r="E60" i="15"/>
  <c r="D77" i="15" s="1"/>
  <c r="E77" i="15" s="1"/>
  <c r="G59" i="15"/>
  <c r="F76" i="15" s="1"/>
  <c r="G76" i="15" s="1"/>
  <c r="E59" i="15"/>
  <c r="D76" i="15" s="1"/>
  <c r="E76" i="15" s="1"/>
  <c r="G58" i="15"/>
  <c r="F75" i="15" s="1"/>
  <c r="G75" i="15" s="1"/>
  <c r="E58" i="15"/>
  <c r="D75" i="15" s="1"/>
  <c r="E75" i="15" s="1"/>
  <c r="H55" i="15"/>
  <c r="E55" i="15"/>
  <c r="D55" i="15"/>
  <c r="G44" i="15" s="1"/>
  <c r="F54" i="15"/>
  <c r="C54" i="15"/>
  <c r="F53" i="15"/>
  <c r="C53" i="15"/>
  <c r="F52" i="15"/>
  <c r="C52" i="15"/>
  <c r="F51" i="15"/>
  <c r="C51" i="15"/>
  <c r="F50" i="15"/>
  <c r="C50" i="15"/>
  <c r="F49" i="15"/>
  <c r="C49" i="15"/>
  <c r="F48" i="15"/>
  <c r="C48" i="15"/>
  <c r="G47" i="15"/>
  <c r="F47" i="15"/>
  <c r="C47" i="15"/>
  <c r="F46" i="15"/>
  <c r="C46" i="15"/>
  <c r="F45" i="15"/>
  <c r="C45" i="15"/>
  <c r="F44" i="15"/>
  <c r="C44" i="15"/>
  <c r="F43" i="15"/>
  <c r="C43" i="15"/>
  <c r="F42" i="15"/>
  <c r="C42" i="15"/>
  <c r="G41" i="15"/>
  <c r="F41" i="15"/>
  <c r="C41" i="15"/>
  <c r="F40" i="15"/>
  <c r="C40" i="15"/>
  <c r="F39" i="15"/>
  <c r="C39" i="15"/>
  <c r="F38" i="15"/>
  <c r="C38" i="15"/>
  <c r="F37" i="15"/>
  <c r="C37" i="15"/>
  <c r="F36" i="15"/>
  <c r="C36" i="15"/>
  <c r="F35" i="15"/>
  <c r="C35" i="15"/>
  <c r="F34" i="15"/>
  <c r="C34" i="15"/>
  <c r="G33" i="15"/>
  <c r="F33" i="15"/>
  <c r="C33" i="15"/>
  <c r="F32" i="15"/>
  <c r="C32" i="15"/>
  <c r="G31" i="15"/>
  <c r="F31" i="15"/>
  <c r="C31" i="15"/>
  <c r="C55" i="15" s="1"/>
  <c r="E13" i="15"/>
  <c r="G12" i="15" s="1"/>
  <c r="E12" i="15"/>
  <c r="E10" i="15"/>
  <c r="C10" i="15"/>
  <c r="E9" i="15"/>
  <c r="F7" i="15"/>
  <c r="C6" i="15"/>
  <c r="F57" i="14"/>
  <c r="G57" i="14" s="1"/>
  <c r="D57" i="14"/>
  <c r="E57" i="14" s="1"/>
  <c r="G54" i="14"/>
  <c r="G66" i="14" s="1"/>
  <c r="E54" i="14"/>
  <c r="E66" i="14" s="1"/>
  <c r="G53" i="14"/>
  <c r="G65" i="14" s="1"/>
  <c r="E53" i="14"/>
  <c r="E65" i="14" s="1"/>
  <c r="G52" i="14"/>
  <c r="G64" i="14" s="1"/>
  <c r="E52" i="14"/>
  <c r="E64" i="14" s="1"/>
  <c r="G51" i="14"/>
  <c r="G63" i="14" s="1"/>
  <c r="E51" i="14"/>
  <c r="E63" i="14" s="1"/>
  <c r="G50" i="14"/>
  <c r="G62" i="14" s="1"/>
  <c r="E50" i="14"/>
  <c r="E62" i="14" s="1"/>
  <c r="G49" i="14"/>
  <c r="F61" i="14" s="1"/>
  <c r="G61" i="14" s="1"/>
  <c r="E49" i="14"/>
  <c r="D61" i="14" s="1"/>
  <c r="E61" i="14" s="1"/>
  <c r="G48" i="14"/>
  <c r="G60" i="14" s="1"/>
  <c r="E48" i="14"/>
  <c r="E60" i="14" s="1"/>
  <c r="G47" i="14"/>
  <c r="G59" i="14" s="1"/>
  <c r="E47" i="14"/>
  <c r="E59" i="14" s="1"/>
  <c r="G46" i="14"/>
  <c r="G58" i="14" s="1"/>
  <c r="E46" i="14"/>
  <c r="E58" i="14" s="1"/>
  <c r="F42" i="14"/>
  <c r="E42" i="14"/>
  <c r="D42" i="14"/>
  <c r="G35" i="14" s="1"/>
  <c r="C41" i="14"/>
  <c r="C40" i="14"/>
  <c r="C39" i="14"/>
  <c r="C38" i="14"/>
  <c r="C37" i="14"/>
  <c r="C36" i="14"/>
  <c r="C35" i="14"/>
  <c r="C34" i="14"/>
  <c r="C33" i="14"/>
  <c r="C32" i="14"/>
  <c r="C31" i="14"/>
  <c r="E13" i="14"/>
  <c r="G13" i="14" s="1"/>
  <c r="E12" i="14"/>
  <c r="C10" i="14"/>
  <c r="E10" i="14" s="1"/>
  <c r="E9" i="14"/>
  <c r="F7" i="14"/>
  <c r="F59" i="13"/>
  <c r="G59" i="13" s="1"/>
  <c r="E59" i="13"/>
  <c r="D59" i="13"/>
  <c r="G58" i="13"/>
  <c r="F58" i="13"/>
  <c r="E58" i="13"/>
  <c r="D58" i="13"/>
  <c r="E68" i="13"/>
  <c r="G68" i="13"/>
  <c r="G67" i="13"/>
  <c r="E67" i="13"/>
  <c r="G66" i="13"/>
  <c r="E66" i="13"/>
  <c r="G65" i="13"/>
  <c r="E65" i="13"/>
  <c r="G62" i="13"/>
  <c r="E62" i="13"/>
  <c r="E61" i="13"/>
  <c r="G61" i="13"/>
  <c r="E47" i="13"/>
  <c r="E60" i="13" s="1"/>
  <c r="G47" i="13"/>
  <c r="G60" i="13" s="1"/>
  <c r="C46" i="13"/>
  <c r="C45" i="13"/>
  <c r="F42" i="13"/>
  <c r="E42" i="13"/>
  <c r="D42" i="13"/>
  <c r="G40" i="13" s="1"/>
  <c r="C41" i="13"/>
  <c r="C40" i="13"/>
  <c r="C39" i="13"/>
  <c r="C38" i="13"/>
  <c r="G37" i="13"/>
  <c r="C37" i="13"/>
  <c r="C36" i="13"/>
  <c r="C35" i="13"/>
  <c r="G34" i="13"/>
  <c r="C34" i="13"/>
  <c r="C33" i="13"/>
  <c r="C32" i="13"/>
  <c r="C31" i="13"/>
  <c r="G13" i="13"/>
  <c r="E13" i="13"/>
  <c r="G12" i="13" s="1"/>
  <c r="E12" i="13"/>
  <c r="C10" i="13"/>
  <c r="E10" i="13" s="1"/>
  <c r="E9" i="13"/>
  <c r="F7" i="13"/>
  <c r="D67" i="12"/>
  <c r="G55" i="12"/>
  <c r="F67" i="12" s="1"/>
  <c r="E55" i="12"/>
  <c r="G54" i="12"/>
  <c r="F66" i="12" s="1"/>
  <c r="G66" i="12" s="1"/>
  <c r="E54" i="12"/>
  <c r="D66" i="12" s="1"/>
  <c r="E66" i="12" s="1"/>
  <c r="G53" i="12"/>
  <c r="F65" i="12" s="1"/>
  <c r="G65" i="12" s="1"/>
  <c r="E53" i="12"/>
  <c r="D65" i="12" s="1"/>
  <c r="E65" i="12" s="1"/>
  <c r="G52" i="12"/>
  <c r="F64" i="12" s="1"/>
  <c r="G64" i="12" s="1"/>
  <c r="E52" i="12"/>
  <c r="D64" i="12" s="1"/>
  <c r="E64" i="12" s="1"/>
  <c r="G51" i="12"/>
  <c r="F63" i="12" s="1"/>
  <c r="G63" i="12" s="1"/>
  <c r="E51" i="12"/>
  <c r="D63" i="12" s="1"/>
  <c r="E63" i="12" s="1"/>
  <c r="G50" i="12"/>
  <c r="F62" i="12" s="1"/>
  <c r="G62" i="12" s="1"/>
  <c r="E50" i="12"/>
  <c r="D62" i="12" s="1"/>
  <c r="E62" i="12" s="1"/>
  <c r="G49" i="12"/>
  <c r="F61" i="12" s="1"/>
  <c r="G61" i="12" s="1"/>
  <c r="E49" i="12"/>
  <c r="D61" i="12" s="1"/>
  <c r="E61" i="12" s="1"/>
  <c r="G48" i="12"/>
  <c r="F60" i="12" s="1"/>
  <c r="G60" i="12" s="1"/>
  <c r="E48" i="12"/>
  <c r="D60" i="12" s="1"/>
  <c r="E60" i="12" s="1"/>
  <c r="G47" i="12"/>
  <c r="F59" i="12" s="1"/>
  <c r="G59" i="12" s="1"/>
  <c r="E47" i="12"/>
  <c r="D59" i="12" s="1"/>
  <c r="E59" i="12" s="1"/>
  <c r="G46" i="12"/>
  <c r="F58" i="12" s="1"/>
  <c r="G58" i="12" s="1"/>
  <c r="E46" i="12"/>
  <c r="D58" i="12" s="1"/>
  <c r="E58" i="12" s="1"/>
  <c r="F43" i="12"/>
  <c r="E43" i="12"/>
  <c r="D43" i="12"/>
  <c r="G42" i="12" s="1"/>
  <c r="C42" i="12"/>
  <c r="C41" i="12"/>
  <c r="C40" i="12"/>
  <c r="C39" i="12"/>
  <c r="C38" i="12"/>
  <c r="C37" i="12"/>
  <c r="C36" i="12"/>
  <c r="C35" i="12"/>
  <c r="C34" i="12"/>
  <c r="C33" i="12"/>
  <c r="C32" i="12"/>
  <c r="G31" i="12"/>
  <c r="C31" i="12"/>
  <c r="C43" i="12" s="1"/>
  <c r="E13" i="12"/>
  <c r="G13" i="12" s="1"/>
  <c r="E12" i="12"/>
  <c r="C10" i="12"/>
  <c r="E10" i="12" s="1"/>
  <c r="E9" i="12"/>
  <c r="F7" i="12"/>
  <c r="G45" i="11"/>
  <c r="F56" i="11" s="1"/>
  <c r="G56" i="11" s="1"/>
  <c r="E45" i="11"/>
  <c r="D56" i="11" s="1"/>
  <c r="E56" i="11" s="1"/>
  <c r="G44" i="11"/>
  <c r="F55" i="11" s="1"/>
  <c r="G55" i="11" s="1"/>
  <c r="E44" i="11"/>
  <c r="D55" i="11" s="1"/>
  <c r="E55" i="11" s="1"/>
  <c r="G43" i="11"/>
  <c r="F54" i="11" s="1"/>
  <c r="G54" i="11" s="1"/>
  <c r="E43" i="11"/>
  <c r="D54" i="11" s="1"/>
  <c r="E54" i="11" s="1"/>
  <c r="G42" i="11"/>
  <c r="F53" i="11" s="1"/>
  <c r="G53" i="11" s="1"/>
  <c r="E42" i="11"/>
  <c r="D53" i="11" s="1"/>
  <c r="E53" i="11" s="1"/>
  <c r="G41" i="11"/>
  <c r="F52" i="11" s="1"/>
  <c r="G52" i="11" s="1"/>
  <c r="E41" i="11"/>
  <c r="D52" i="11" s="1"/>
  <c r="E52" i="11" s="1"/>
  <c r="G40" i="11"/>
  <c r="F51" i="11" s="1"/>
  <c r="G51" i="11" s="1"/>
  <c r="E40" i="11"/>
  <c r="D51" i="11" s="1"/>
  <c r="E51" i="11" s="1"/>
  <c r="H37" i="11"/>
  <c r="F37" i="11"/>
  <c r="E37" i="11"/>
  <c r="D37" i="11"/>
  <c r="G35" i="11" s="1"/>
  <c r="G36" i="11"/>
  <c r="C36" i="11"/>
  <c r="C35" i="11"/>
  <c r="C34" i="11"/>
  <c r="G33" i="11"/>
  <c r="C33" i="11"/>
  <c r="G32" i="11"/>
  <c r="C32" i="11"/>
  <c r="C31" i="11"/>
  <c r="E13" i="11"/>
  <c r="G13" i="11" s="1"/>
  <c r="E12" i="11"/>
  <c r="C10" i="11"/>
  <c r="E10" i="11" s="1"/>
  <c r="E9" i="11"/>
  <c r="F7" i="11"/>
  <c r="G49" i="10"/>
  <c r="F60" i="10" s="1"/>
  <c r="G60" i="10" s="1"/>
  <c r="E49" i="10"/>
  <c r="D60" i="10" s="1"/>
  <c r="E60" i="10" s="1"/>
  <c r="G48" i="10"/>
  <c r="F59" i="10" s="1"/>
  <c r="G59" i="10" s="1"/>
  <c r="E48" i="10"/>
  <c r="D59" i="10" s="1"/>
  <c r="E59" i="10" s="1"/>
  <c r="G47" i="10"/>
  <c r="F58" i="10" s="1"/>
  <c r="G58" i="10" s="1"/>
  <c r="E47" i="10"/>
  <c r="D58" i="10" s="1"/>
  <c r="E58" i="10" s="1"/>
  <c r="G46" i="10"/>
  <c r="F57" i="10" s="1"/>
  <c r="G57" i="10" s="1"/>
  <c r="E46" i="10"/>
  <c r="D57" i="10" s="1"/>
  <c r="E57" i="10" s="1"/>
  <c r="G45" i="10"/>
  <c r="F56" i="10" s="1"/>
  <c r="G56" i="10" s="1"/>
  <c r="E45" i="10"/>
  <c r="D56" i="10" s="1"/>
  <c r="E56" i="10" s="1"/>
  <c r="G44" i="10"/>
  <c r="F55" i="10" s="1"/>
  <c r="G55" i="10" s="1"/>
  <c r="E44" i="10"/>
  <c r="D55" i="10" s="1"/>
  <c r="E55" i="10" s="1"/>
  <c r="G43" i="10"/>
  <c r="F54" i="10" s="1"/>
  <c r="G54" i="10" s="1"/>
  <c r="E43" i="10"/>
  <c r="D54" i="10" s="1"/>
  <c r="E54" i="10" s="1"/>
  <c r="G42" i="10"/>
  <c r="F53" i="10" s="1"/>
  <c r="G53" i="10" s="1"/>
  <c r="E42" i="10"/>
  <c r="D53" i="10" s="1"/>
  <c r="E53" i="10" s="1"/>
  <c r="G41" i="10"/>
  <c r="F52" i="10" s="1"/>
  <c r="G52" i="10" s="1"/>
  <c r="E41" i="10"/>
  <c r="D52" i="10" s="1"/>
  <c r="E52" i="10" s="1"/>
  <c r="D38" i="10"/>
  <c r="G32" i="10" s="1"/>
  <c r="G37" i="10"/>
  <c r="E37" i="10"/>
  <c r="C37" i="10"/>
  <c r="E36" i="10"/>
  <c r="C36" i="10"/>
  <c r="G35" i="10"/>
  <c r="E35" i="10"/>
  <c r="C35" i="10"/>
  <c r="E34" i="10"/>
  <c r="C34" i="10"/>
  <c r="E33" i="10"/>
  <c r="C33" i="10"/>
  <c r="E32" i="10"/>
  <c r="C32" i="10"/>
  <c r="E31" i="10"/>
  <c r="C31" i="10"/>
  <c r="E30" i="10"/>
  <c r="C30" i="10"/>
  <c r="G29" i="10"/>
  <c r="C29" i="10"/>
  <c r="E11" i="10"/>
  <c r="E10" i="10"/>
  <c r="C8" i="10"/>
  <c r="E8" i="10" s="1"/>
  <c r="E7" i="10"/>
  <c r="F5" i="10"/>
  <c r="G49" i="9"/>
  <c r="F59" i="9" s="1"/>
  <c r="G59" i="9" s="1"/>
  <c r="E49" i="9"/>
  <c r="D59" i="9" s="1"/>
  <c r="E59" i="9" s="1"/>
  <c r="G48" i="9"/>
  <c r="F58" i="9" s="1"/>
  <c r="G58" i="9" s="1"/>
  <c r="E48" i="9"/>
  <c r="D58" i="9" s="1"/>
  <c r="E58" i="9" s="1"/>
  <c r="G47" i="9"/>
  <c r="F57" i="9" s="1"/>
  <c r="G57" i="9" s="1"/>
  <c r="E47" i="9"/>
  <c r="D57" i="9" s="1"/>
  <c r="E57" i="9" s="1"/>
  <c r="G46" i="9"/>
  <c r="F56" i="9" s="1"/>
  <c r="G56" i="9" s="1"/>
  <c r="E46" i="9"/>
  <c r="D56" i="9" s="1"/>
  <c r="E56" i="9" s="1"/>
  <c r="G45" i="9"/>
  <c r="F55" i="9" s="1"/>
  <c r="G55" i="9" s="1"/>
  <c r="E45" i="9"/>
  <c r="D55" i="9" s="1"/>
  <c r="E55" i="9" s="1"/>
  <c r="G44" i="9"/>
  <c r="F54" i="9" s="1"/>
  <c r="G54" i="9" s="1"/>
  <c r="E44" i="9"/>
  <c r="D54" i="9" s="1"/>
  <c r="E54" i="9" s="1"/>
  <c r="G43" i="9"/>
  <c r="F53" i="9" s="1"/>
  <c r="G53" i="9" s="1"/>
  <c r="E43" i="9"/>
  <c r="D53" i="9" s="1"/>
  <c r="E53" i="9" s="1"/>
  <c r="G42" i="9"/>
  <c r="F52" i="9" s="1"/>
  <c r="G52" i="9" s="1"/>
  <c r="E42" i="9"/>
  <c r="D52" i="9" s="1"/>
  <c r="E52" i="9" s="1"/>
  <c r="H39" i="9"/>
  <c r="F39" i="9"/>
  <c r="D39" i="9"/>
  <c r="G38" i="9" s="1"/>
  <c r="E38" i="9"/>
  <c r="C38" i="9"/>
  <c r="G37" i="9"/>
  <c r="E37" i="9"/>
  <c r="C37" i="9"/>
  <c r="G36" i="9"/>
  <c r="E36" i="9"/>
  <c r="C36" i="9"/>
  <c r="G35" i="9"/>
  <c r="E35" i="9"/>
  <c r="C35" i="9"/>
  <c r="G34" i="9"/>
  <c r="E34" i="9"/>
  <c r="C34" i="9"/>
  <c r="G33" i="9"/>
  <c r="E33" i="9"/>
  <c r="C33" i="9"/>
  <c r="G32" i="9"/>
  <c r="E32" i="9"/>
  <c r="C32" i="9"/>
  <c r="G31" i="9"/>
  <c r="C31" i="9"/>
  <c r="G30" i="9"/>
  <c r="C30" i="9"/>
  <c r="E13" i="9"/>
  <c r="E12" i="9"/>
  <c r="C10" i="9"/>
  <c r="E10" i="9" s="1"/>
  <c r="E9" i="9"/>
  <c r="F7" i="9"/>
  <c r="G47" i="8"/>
  <c r="E47" i="8"/>
  <c r="G46" i="8"/>
  <c r="E46" i="8"/>
  <c r="G45" i="8"/>
  <c r="E45" i="8"/>
  <c r="G44" i="8"/>
  <c r="F54" i="8" s="1"/>
  <c r="G54" i="8" s="1"/>
  <c r="E44" i="8"/>
  <c r="D54" i="8" s="1"/>
  <c r="E54" i="8" s="1"/>
  <c r="G43" i="8"/>
  <c r="E43" i="8"/>
  <c r="G42" i="8"/>
  <c r="E42" i="8"/>
  <c r="G41" i="8"/>
  <c r="E41" i="8"/>
  <c r="F38" i="8"/>
  <c r="E38" i="8"/>
  <c r="D38" i="8"/>
  <c r="G33" i="8" s="1"/>
  <c r="C33" i="8"/>
  <c r="C32" i="8"/>
  <c r="C31" i="8"/>
  <c r="G30" i="8"/>
  <c r="C30" i="8"/>
  <c r="C38" i="8" s="1"/>
  <c r="C29" i="8"/>
  <c r="G11" i="8"/>
  <c r="E11" i="8"/>
  <c r="G10" i="8"/>
  <c r="E10" i="8"/>
  <c r="C8" i="8"/>
  <c r="E8" i="8" s="1"/>
  <c r="E7" i="8"/>
  <c r="F5" i="8"/>
  <c r="G45" i="7"/>
  <c r="F56" i="7" s="1"/>
  <c r="G56" i="7" s="1"/>
  <c r="E45" i="7"/>
  <c r="D56" i="7" s="1"/>
  <c r="E56" i="7" s="1"/>
  <c r="G44" i="7"/>
  <c r="F55" i="7" s="1"/>
  <c r="G55" i="7" s="1"/>
  <c r="E44" i="7"/>
  <c r="D55" i="7" s="1"/>
  <c r="E55" i="7" s="1"/>
  <c r="G43" i="7"/>
  <c r="F54" i="7" s="1"/>
  <c r="G54" i="7" s="1"/>
  <c r="E43" i="7"/>
  <c r="D54" i="7" s="1"/>
  <c r="E54" i="7" s="1"/>
  <c r="G42" i="7"/>
  <c r="F53" i="7" s="1"/>
  <c r="G53" i="7" s="1"/>
  <c r="E42" i="7"/>
  <c r="D53" i="7" s="1"/>
  <c r="E53" i="7" s="1"/>
  <c r="F38" i="7"/>
  <c r="E38" i="7"/>
  <c r="D38" i="7"/>
  <c r="G33" i="7" s="1"/>
  <c r="C33" i="7"/>
  <c r="C32" i="7"/>
  <c r="C31" i="7"/>
  <c r="C30" i="7"/>
  <c r="C29" i="7"/>
  <c r="E11" i="7"/>
  <c r="E10" i="7"/>
  <c r="C8" i="7"/>
  <c r="E8" i="7" s="1"/>
  <c r="E7" i="7"/>
  <c r="F5" i="7"/>
  <c r="E56" i="6"/>
  <c r="D56" i="6"/>
  <c r="E54" i="6"/>
  <c r="D54" i="6"/>
  <c r="F53" i="6"/>
  <c r="G53" i="6" s="1"/>
  <c r="D53" i="6"/>
  <c r="E53" i="6" s="1"/>
  <c r="E52" i="6"/>
  <c r="D52" i="6"/>
  <c r="E50" i="6"/>
  <c r="D50" i="6"/>
  <c r="F49" i="6"/>
  <c r="G49" i="6" s="1"/>
  <c r="G46" i="6"/>
  <c r="F56" i="6" s="1"/>
  <c r="G56" i="6" s="1"/>
  <c r="E46" i="6"/>
  <c r="G45" i="6"/>
  <c r="F55" i="6" s="1"/>
  <c r="G55" i="6" s="1"/>
  <c r="E45" i="6"/>
  <c r="D55" i="6" s="1"/>
  <c r="E55" i="6" s="1"/>
  <c r="G44" i="6"/>
  <c r="F54" i="6" s="1"/>
  <c r="G54" i="6" s="1"/>
  <c r="E44" i="6"/>
  <c r="G43" i="6"/>
  <c r="E43" i="6"/>
  <c r="G42" i="6"/>
  <c r="F52" i="6" s="1"/>
  <c r="G52" i="6" s="1"/>
  <c r="E42" i="6"/>
  <c r="G41" i="6"/>
  <c r="F51" i="6" s="1"/>
  <c r="G51" i="6" s="1"/>
  <c r="E41" i="6"/>
  <c r="D51" i="6" s="1"/>
  <c r="E51" i="6" s="1"/>
  <c r="G40" i="6"/>
  <c r="F50" i="6" s="1"/>
  <c r="G50" i="6" s="1"/>
  <c r="E40" i="6"/>
  <c r="G39" i="6"/>
  <c r="E39" i="6"/>
  <c r="D49" i="6" s="1"/>
  <c r="E49" i="6" s="1"/>
  <c r="E36" i="6"/>
  <c r="D36" i="6"/>
  <c r="G30" i="6" s="1"/>
  <c r="F35" i="6"/>
  <c r="C35" i="6"/>
  <c r="F34" i="6"/>
  <c r="C34" i="6"/>
  <c r="G33" i="6"/>
  <c r="F33" i="6"/>
  <c r="C33" i="6"/>
  <c r="F32" i="6"/>
  <c r="C32" i="6"/>
  <c r="F31" i="6"/>
  <c r="C31" i="6"/>
  <c r="F30" i="6"/>
  <c r="C30" i="6"/>
  <c r="F29" i="6"/>
  <c r="C29" i="6"/>
  <c r="G28" i="6"/>
  <c r="F28" i="6"/>
  <c r="F36" i="6" s="1"/>
  <c r="C28" i="6"/>
  <c r="C36" i="6" s="1"/>
  <c r="E11" i="6"/>
  <c r="G11" i="6" s="1"/>
  <c r="H12" i="6" s="1"/>
  <c r="G10" i="6"/>
  <c r="E10" i="6"/>
  <c r="C9" i="6"/>
  <c r="C8" i="6" s="1"/>
  <c r="E8" i="6" s="1"/>
  <c r="F5" i="6"/>
  <c r="G43" i="5"/>
  <c r="F53" i="5" s="1"/>
  <c r="G53" i="5" s="1"/>
  <c r="E43" i="5"/>
  <c r="D53" i="5" s="1"/>
  <c r="E53" i="5" s="1"/>
  <c r="C43" i="5"/>
  <c r="G42" i="5"/>
  <c r="F52" i="5" s="1"/>
  <c r="G52" i="5" s="1"/>
  <c r="E42" i="5"/>
  <c r="D52" i="5" s="1"/>
  <c r="E52" i="5" s="1"/>
  <c r="C42" i="5"/>
  <c r="C41" i="5"/>
  <c r="G41" i="5" s="1"/>
  <c r="F51" i="5" s="1"/>
  <c r="G51" i="5" s="1"/>
  <c r="C40" i="5"/>
  <c r="G40" i="5" s="1"/>
  <c r="F50" i="5" s="1"/>
  <c r="G50" i="5" s="1"/>
  <c r="G39" i="5"/>
  <c r="F49" i="5" s="1"/>
  <c r="G49" i="5" s="1"/>
  <c r="E39" i="5"/>
  <c r="D49" i="5" s="1"/>
  <c r="E49" i="5" s="1"/>
  <c r="C39" i="5"/>
  <c r="C38" i="5"/>
  <c r="G38" i="5" s="1"/>
  <c r="F48" i="5" s="1"/>
  <c r="G48" i="5" s="1"/>
  <c r="F35" i="5"/>
  <c r="E35" i="5"/>
  <c r="D32" i="5"/>
  <c r="G32" i="5" s="1"/>
  <c r="C32" i="5"/>
  <c r="D31" i="5"/>
  <c r="C31" i="5" s="1"/>
  <c r="D30" i="5"/>
  <c r="C30" i="5" s="1"/>
  <c r="D29" i="5"/>
  <c r="G29" i="5" s="1"/>
  <c r="D28" i="5"/>
  <c r="D35" i="5" s="1"/>
  <c r="D27" i="5"/>
  <c r="C27" i="5"/>
  <c r="E11" i="5"/>
  <c r="G10" i="5" s="1"/>
  <c r="E10" i="5"/>
  <c r="E8" i="5"/>
  <c r="C8" i="5"/>
  <c r="E7" i="5"/>
  <c r="F5" i="5"/>
  <c r="F52" i="4"/>
  <c r="G52" i="4" s="1"/>
  <c r="E52" i="4"/>
  <c r="D52" i="4"/>
  <c r="G49" i="4"/>
  <c r="F60" i="4" s="1"/>
  <c r="G60" i="4" s="1"/>
  <c r="E49" i="4"/>
  <c r="D60" i="4" s="1"/>
  <c r="E60" i="4" s="1"/>
  <c r="G48" i="4"/>
  <c r="F59" i="4" s="1"/>
  <c r="G59" i="4" s="1"/>
  <c r="E48" i="4"/>
  <c r="D59" i="4" s="1"/>
  <c r="E59" i="4" s="1"/>
  <c r="G47" i="4"/>
  <c r="F58" i="4" s="1"/>
  <c r="G58" i="4" s="1"/>
  <c r="E47" i="4"/>
  <c r="D58" i="4" s="1"/>
  <c r="E58" i="4" s="1"/>
  <c r="G46" i="4"/>
  <c r="F57" i="4" s="1"/>
  <c r="G57" i="4" s="1"/>
  <c r="E46" i="4"/>
  <c r="D57" i="4" s="1"/>
  <c r="E57" i="4" s="1"/>
  <c r="G45" i="4"/>
  <c r="F56" i="4" s="1"/>
  <c r="G56" i="4" s="1"/>
  <c r="E45" i="4"/>
  <c r="D56" i="4" s="1"/>
  <c r="E56" i="4" s="1"/>
  <c r="G44" i="4"/>
  <c r="F55" i="4" s="1"/>
  <c r="G55" i="4" s="1"/>
  <c r="E44" i="4"/>
  <c r="D55" i="4" s="1"/>
  <c r="E55" i="4" s="1"/>
  <c r="G43" i="4"/>
  <c r="F54" i="4" s="1"/>
  <c r="G54" i="4" s="1"/>
  <c r="E43" i="4"/>
  <c r="D54" i="4" s="1"/>
  <c r="E54" i="4" s="1"/>
  <c r="G42" i="4"/>
  <c r="F53" i="4" s="1"/>
  <c r="G53" i="4" s="1"/>
  <c r="E42" i="4"/>
  <c r="D53" i="4" s="1"/>
  <c r="E53" i="4" s="1"/>
  <c r="G41" i="4"/>
  <c r="E41" i="4"/>
  <c r="F38" i="4"/>
  <c r="E38" i="4"/>
  <c r="D38" i="4"/>
  <c r="G37" i="4" s="1"/>
  <c r="C37" i="4"/>
  <c r="C36" i="4"/>
  <c r="C35" i="4"/>
  <c r="G34" i="4"/>
  <c r="C34" i="4"/>
  <c r="C33" i="4"/>
  <c r="C32" i="4"/>
  <c r="C31" i="4"/>
  <c r="G30" i="4"/>
  <c r="C30" i="4"/>
  <c r="C38" i="4" s="1"/>
  <c r="C29" i="4"/>
  <c r="E11" i="4"/>
  <c r="G11" i="4" s="1"/>
  <c r="H12" i="4" s="1"/>
  <c r="E10" i="4"/>
  <c r="E8" i="4"/>
  <c r="C8" i="4"/>
  <c r="E7" i="4"/>
  <c r="F5" i="4"/>
  <c r="G51" i="3"/>
  <c r="F62" i="3" s="1"/>
  <c r="G62" i="3" s="1"/>
  <c r="C51" i="3"/>
  <c r="E51" i="3" s="1"/>
  <c r="D62" i="3" s="1"/>
  <c r="E62" i="3" s="1"/>
  <c r="G50" i="3"/>
  <c r="F61" i="3" s="1"/>
  <c r="G61" i="3" s="1"/>
  <c r="E50" i="3"/>
  <c r="D61" i="3" s="1"/>
  <c r="E61" i="3" s="1"/>
  <c r="C50" i="3"/>
  <c r="C49" i="3"/>
  <c r="G49" i="3" s="1"/>
  <c r="F60" i="3" s="1"/>
  <c r="G60" i="3" s="1"/>
  <c r="C48" i="3"/>
  <c r="G48" i="3" s="1"/>
  <c r="F59" i="3" s="1"/>
  <c r="G59" i="3" s="1"/>
  <c r="C47" i="3"/>
  <c r="G47" i="3" s="1"/>
  <c r="F58" i="3" s="1"/>
  <c r="G58" i="3" s="1"/>
  <c r="C46" i="3"/>
  <c r="G46" i="3" s="1"/>
  <c r="F57" i="3" s="1"/>
  <c r="G57" i="3" s="1"/>
  <c r="C45" i="3"/>
  <c r="E45" i="3" s="1"/>
  <c r="D56" i="3" s="1"/>
  <c r="E56" i="3" s="1"/>
  <c r="G44" i="3"/>
  <c r="F55" i="3" s="1"/>
  <c r="G55" i="3" s="1"/>
  <c r="E44" i="3"/>
  <c r="D55" i="3" s="1"/>
  <c r="E55" i="3" s="1"/>
  <c r="G43" i="3"/>
  <c r="F54" i="3" s="1"/>
  <c r="G54" i="3" s="1"/>
  <c r="E43" i="3"/>
  <c r="D54" i="3" s="1"/>
  <c r="E54" i="3" s="1"/>
  <c r="H40" i="3"/>
  <c r="F40" i="3"/>
  <c r="D40" i="3"/>
  <c r="G38" i="3" s="1"/>
  <c r="E39" i="3"/>
  <c r="C39" i="3"/>
  <c r="E38" i="3"/>
  <c r="C38" i="3"/>
  <c r="E37" i="3"/>
  <c r="C37" i="3"/>
  <c r="E36" i="3"/>
  <c r="C36" i="3"/>
  <c r="G35" i="3"/>
  <c r="E35" i="3"/>
  <c r="C35" i="3"/>
  <c r="E34" i="3"/>
  <c r="C34" i="3"/>
  <c r="E33" i="3"/>
  <c r="C33" i="3"/>
  <c r="G32" i="3"/>
  <c r="C32" i="3"/>
  <c r="C31" i="3"/>
  <c r="E13" i="3"/>
  <c r="G13" i="3" s="1"/>
  <c r="E12" i="3"/>
  <c r="G12" i="3" s="1"/>
  <c r="C10" i="3"/>
  <c r="E10" i="3" s="1"/>
  <c r="E9" i="3"/>
  <c r="F7" i="3"/>
  <c r="F58" i="2"/>
  <c r="G58" i="2" s="1"/>
  <c r="D58" i="2"/>
  <c r="E58" i="2" s="1"/>
  <c r="F51" i="2"/>
  <c r="G51" i="2" s="1"/>
  <c r="D51" i="2"/>
  <c r="E51" i="2" s="1"/>
  <c r="G47" i="2"/>
  <c r="F57" i="2" s="1"/>
  <c r="G57" i="2" s="1"/>
  <c r="E47" i="2"/>
  <c r="D57" i="2" s="1"/>
  <c r="E57" i="2" s="1"/>
  <c r="G46" i="2"/>
  <c r="F56" i="2" s="1"/>
  <c r="G56" i="2" s="1"/>
  <c r="E46" i="2"/>
  <c r="D56" i="2" s="1"/>
  <c r="E56" i="2" s="1"/>
  <c r="G45" i="2"/>
  <c r="F55" i="2" s="1"/>
  <c r="G55" i="2" s="1"/>
  <c r="E45" i="2"/>
  <c r="D55" i="2" s="1"/>
  <c r="E55" i="2" s="1"/>
  <c r="C44" i="2"/>
  <c r="E44" i="2" s="1"/>
  <c r="E54" i="2" s="1"/>
  <c r="G43" i="2"/>
  <c r="F53" i="2" s="1"/>
  <c r="G53" i="2" s="1"/>
  <c r="E43" i="2"/>
  <c r="D53" i="2" s="1"/>
  <c r="E53" i="2" s="1"/>
  <c r="C42" i="2"/>
  <c r="G42" i="2" s="1"/>
  <c r="F52" i="2" s="1"/>
  <c r="G52" i="2" s="1"/>
  <c r="C37" i="2"/>
  <c r="C36" i="2"/>
  <c r="C35" i="2"/>
  <c r="C34" i="2"/>
  <c r="C33" i="2"/>
  <c r="C32" i="2"/>
  <c r="C31" i="2"/>
  <c r="C30" i="2"/>
  <c r="G10" i="7" l="1"/>
  <c r="G42" i="20"/>
  <c r="G32" i="20"/>
  <c r="G46" i="20"/>
  <c r="E41" i="17"/>
  <c r="G32" i="17"/>
  <c r="G38" i="17"/>
  <c r="G36" i="17"/>
  <c r="G35" i="17"/>
  <c r="G12" i="17"/>
  <c r="G37" i="17"/>
  <c r="G40" i="17"/>
  <c r="G34" i="14"/>
  <c r="H14" i="12"/>
  <c r="G12" i="12"/>
  <c r="G11" i="7"/>
  <c r="C38" i="7"/>
  <c r="G30" i="7"/>
  <c r="F56" i="21"/>
  <c r="G56" i="21" s="1"/>
  <c r="E39" i="21"/>
  <c r="D50" i="21" s="1"/>
  <c r="E50" i="21" s="1"/>
  <c r="D54" i="21"/>
  <c r="E54" i="21" s="1"/>
  <c r="C35" i="21"/>
  <c r="H14" i="21" s="1"/>
  <c r="D51" i="21"/>
  <c r="E51" i="21" s="1"/>
  <c r="D55" i="21"/>
  <c r="E55" i="21" s="1"/>
  <c r="E35" i="21"/>
  <c r="H31" i="21"/>
  <c r="C37" i="11"/>
  <c r="H14" i="11" s="1"/>
  <c r="G34" i="11"/>
  <c r="G33" i="10"/>
  <c r="G30" i="10"/>
  <c r="G36" i="10"/>
  <c r="G34" i="10"/>
  <c r="G33" i="3"/>
  <c r="G36" i="3"/>
  <c r="G39" i="3"/>
  <c r="G31" i="3"/>
  <c r="G34" i="3"/>
  <c r="G40" i="3" s="1"/>
  <c r="E46" i="3"/>
  <c r="D57" i="3" s="1"/>
  <c r="E57" i="3" s="1"/>
  <c r="C40" i="3"/>
  <c r="H14" i="3" s="1"/>
  <c r="G37" i="3"/>
  <c r="E49" i="3"/>
  <c r="D60" i="3" s="1"/>
  <c r="E60" i="3" s="1"/>
  <c r="E40" i="3"/>
  <c r="G10" i="10"/>
  <c r="G11" i="10"/>
  <c r="C38" i="10"/>
  <c r="E38" i="10"/>
  <c r="E39" i="9"/>
  <c r="G12" i="9"/>
  <c r="G39" i="9"/>
  <c r="G13" i="9"/>
  <c r="C39" i="9"/>
  <c r="G12" i="14"/>
  <c r="G39" i="14"/>
  <c r="G39" i="20"/>
  <c r="G12" i="20"/>
  <c r="G13" i="20"/>
  <c r="G44" i="20"/>
  <c r="G31" i="20"/>
  <c r="G40" i="20"/>
  <c r="C47" i="20"/>
  <c r="G36" i="20"/>
  <c r="G38" i="20"/>
  <c r="G34" i="20"/>
  <c r="G43" i="20"/>
  <c r="G44" i="2"/>
  <c r="F54" i="2" s="1"/>
  <c r="G54" i="2" s="1"/>
  <c r="G10" i="2"/>
  <c r="G11" i="2"/>
  <c r="H30" i="2"/>
  <c r="H32" i="2"/>
  <c r="C38" i="2"/>
  <c r="H36" i="2"/>
  <c r="G38" i="13"/>
  <c r="G39" i="13"/>
  <c r="G35" i="13"/>
  <c r="G31" i="13"/>
  <c r="G41" i="13"/>
  <c r="G33" i="13"/>
  <c r="G32" i="13"/>
  <c r="G36" i="13"/>
  <c r="C42" i="13"/>
  <c r="H14" i="13" s="1"/>
  <c r="H12" i="8"/>
  <c r="G30" i="5"/>
  <c r="G27" i="5"/>
  <c r="G35" i="5" s="1"/>
  <c r="G28" i="5"/>
  <c r="H33" i="2"/>
  <c r="H37" i="2"/>
  <c r="E42" i="2"/>
  <c r="D52" i="2" s="1"/>
  <c r="E52" i="2" s="1"/>
  <c r="E47" i="3"/>
  <c r="D58" i="3" s="1"/>
  <c r="E58" i="3" s="1"/>
  <c r="G10" i="4"/>
  <c r="G11" i="5"/>
  <c r="C29" i="5"/>
  <c r="G31" i="5"/>
  <c r="E40" i="5"/>
  <c r="D50" i="5" s="1"/>
  <c r="E50" i="5" s="1"/>
  <c r="G31" i="6"/>
  <c r="G31" i="7"/>
  <c r="G31" i="8"/>
  <c r="G31" i="10"/>
  <c r="G31" i="11"/>
  <c r="F55" i="15"/>
  <c r="G39" i="12"/>
  <c r="G34" i="6"/>
  <c r="G32" i="12"/>
  <c r="G36" i="12"/>
  <c r="G40" i="12"/>
  <c r="G48" i="15"/>
  <c r="G40" i="15"/>
  <c r="G32" i="15"/>
  <c r="G55" i="15" s="1"/>
  <c r="G53" i="15"/>
  <c r="G45" i="15"/>
  <c r="G37" i="15"/>
  <c r="G50" i="15"/>
  <c r="G42" i="15"/>
  <c r="G34" i="15"/>
  <c r="G54" i="15"/>
  <c r="G46" i="15"/>
  <c r="G38" i="15"/>
  <c r="G51" i="15"/>
  <c r="G43" i="15"/>
  <c r="G35" i="15"/>
  <c r="G35" i="12"/>
  <c r="G31" i="4"/>
  <c r="E38" i="5"/>
  <c r="D48" i="5" s="1"/>
  <c r="E48" i="5" s="1"/>
  <c r="G29" i="6"/>
  <c r="G36" i="6" s="1"/>
  <c r="G32" i="7"/>
  <c r="G32" i="8"/>
  <c r="G63" i="13"/>
  <c r="E63" i="13"/>
  <c r="G40" i="14"/>
  <c r="G36" i="14"/>
  <c r="G32" i="14"/>
  <c r="G41" i="14"/>
  <c r="G37" i="14"/>
  <c r="G33" i="14"/>
  <c r="H34" i="2"/>
  <c r="G45" i="3"/>
  <c r="F56" i="3" s="1"/>
  <c r="G56" i="3" s="1"/>
  <c r="E48" i="3"/>
  <c r="D59" i="3" s="1"/>
  <c r="E59" i="3" s="1"/>
  <c r="G32" i="4"/>
  <c r="G36" i="4"/>
  <c r="E41" i="5"/>
  <c r="D51" i="5" s="1"/>
  <c r="E51" i="5" s="1"/>
  <c r="G32" i="6"/>
  <c r="G12" i="11"/>
  <c r="G33" i="12"/>
  <c r="G37" i="12"/>
  <c r="G41" i="12"/>
  <c r="G51" i="13"/>
  <c r="E51" i="13"/>
  <c r="G31" i="14"/>
  <c r="G52" i="15"/>
  <c r="G35" i="4"/>
  <c r="H31" i="2"/>
  <c r="H35" i="2"/>
  <c r="E7" i="6"/>
  <c r="G35" i="6"/>
  <c r="G29" i="7"/>
  <c r="G29" i="8"/>
  <c r="G38" i="8" s="1"/>
  <c r="G39" i="15"/>
  <c r="G49" i="15"/>
  <c r="C41" i="17"/>
  <c r="H14" i="17" s="1"/>
  <c r="H14" i="19"/>
  <c r="G29" i="4"/>
  <c r="G33" i="4"/>
  <c r="C28" i="5"/>
  <c r="C35" i="5" s="1"/>
  <c r="G34" i="12"/>
  <c r="G38" i="12"/>
  <c r="C42" i="14"/>
  <c r="H14" i="14" s="1"/>
  <c r="G38" i="14"/>
  <c r="G36" i="15"/>
  <c r="G13" i="15"/>
  <c r="H14" i="15" s="1"/>
  <c r="G31" i="17"/>
  <c r="G39" i="17"/>
  <c r="G31" i="18"/>
  <c r="G34" i="18"/>
  <c r="G32" i="19"/>
  <c r="G36" i="19"/>
  <c r="H34" i="21"/>
  <c r="F53" i="21"/>
  <c r="G53" i="21" s="1"/>
  <c r="G50" i="22"/>
  <c r="F61" i="22" s="1"/>
  <c r="G61" i="22" s="1"/>
  <c r="G34" i="17"/>
  <c r="G37" i="18"/>
  <c r="G12" i="19"/>
  <c r="G33" i="20"/>
  <c r="G37" i="20"/>
  <c r="G41" i="20"/>
  <c r="E48" i="22"/>
  <c r="D59" i="22" s="1"/>
  <c r="E59" i="22" s="1"/>
  <c r="E51" i="22"/>
  <c r="D62" i="22" s="1"/>
  <c r="E62" i="22" s="1"/>
  <c r="D57" i="21"/>
  <c r="E57" i="21" s="1"/>
  <c r="G34" i="19"/>
  <c r="D52" i="21"/>
  <c r="E52" i="21" s="1"/>
  <c r="E49" i="22"/>
  <c r="D60" i="22" s="1"/>
  <c r="E60" i="22" s="1"/>
  <c r="G33" i="18"/>
  <c r="H33" i="21"/>
  <c r="G36" i="18"/>
  <c r="E52" i="18"/>
  <c r="D64" i="18" s="1"/>
  <c r="E64" i="18" s="1"/>
  <c r="G31" i="19"/>
  <c r="D64" i="13" l="1"/>
  <c r="E64" i="13" s="1"/>
  <c r="F64" i="13"/>
  <c r="G64" i="13" s="1"/>
  <c r="G37" i="11"/>
  <c r="H12" i="7"/>
  <c r="G38" i="7"/>
  <c r="G43" i="12"/>
  <c r="H35" i="21"/>
  <c r="G38" i="10"/>
  <c r="H14" i="9"/>
  <c r="H14" i="20"/>
  <c r="H12" i="10"/>
  <c r="G12" i="2"/>
  <c r="G47" i="20"/>
  <c r="H38" i="2"/>
  <c r="G42" i="13"/>
  <c r="C8" i="2"/>
  <c r="C17" i="2" s="1"/>
  <c r="E18" i="2" s="1"/>
  <c r="C18" i="2" s="1"/>
  <c r="E7" i="2"/>
  <c r="H12" i="5"/>
  <c r="G41" i="18"/>
  <c r="G37" i="19"/>
  <c r="G41" i="17"/>
  <c r="G38" i="4"/>
  <c r="G42" i="14"/>
  <c r="E8" i="2" l="1"/>
  <c r="G18" i="2"/>
</calcChain>
</file>

<file path=xl/sharedStrings.xml><?xml version="1.0" encoding="utf-8"?>
<sst xmlns="http://schemas.openxmlformats.org/spreadsheetml/2006/main" count="6034" uniqueCount="1475">
  <si>
    <t>김업형임대사업자가 일반분양분 전량을 조합으로부터 유상 인수함.</t>
  </si>
  <si>
    <t xml:space="preserve">
(현재 예상)
총
프
리
미
엄
(비례율 100%기준)</t>
  </si>
  <si>
    <t>이사비 : 500(무이자) + 1500(유이자)</t>
  </si>
  <si>
    <t xml:space="preserve">- 인감증명서 매도용 1통 (매수자인적사항포함) </t>
  </si>
  <si>
    <t>-명의변경신청서(매수자 인감도장찍힌-조합에)</t>
  </si>
  <si>
    <t>(예상)
총
프
리
미
엄
(비례율 100%기준)</t>
  </si>
  <si>
    <t xml:space="preserve">- 주민등록초본 2통 (주소변동사항포함)  </t>
  </si>
  <si>
    <t>용호 3구역 시세를 리더할 것임. (완공 후 시세 평당 1200만원 예상)</t>
  </si>
  <si>
    <t>제3종일반주거지역, 준주거지역</t>
  </si>
  <si>
    <t>부산시 금정구 부곡동332-4</t>
  </si>
  <si>
    <t xml:space="preserve">좌천범일통합3 도시환경정비구역 </t>
  </si>
  <si>
    <t>인근시세가 예상일반분양가보다 낮음.</t>
  </si>
  <si>
    <t>부산진구 양정동 73-7번지 일원</t>
  </si>
  <si>
    <t>대우 + 현대산업개발 컨소시엄</t>
  </si>
  <si>
    <t>이주비 : 70% / 중도금 없음.</t>
  </si>
  <si>
    <t>지하4층 / 지상 최고 45층</t>
  </si>
  <si>
    <t>부산진구 양정동 12-6번지 일원</t>
  </si>
  <si>
    <t>부산시 동래구 복산동 50번지 일원</t>
  </si>
  <si>
    <t>(공공임대 포함 : 1338세대)</t>
  </si>
  <si>
    <t>-주민등록초본(주소변동사항포함)</t>
  </si>
  <si>
    <t>지하2층 / 지상 최고 27층</t>
  </si>
  <si>
    <t>(공공임대, 보류 5세대 포함)</t>
  </si>
  <si>
    <t>지하3층 / 지상 최고 35층</t>
  </si>
  <si>
    <t>지하4층 / 지상 최고 33층</t>
  </si>
  <si>
    <t>부산진구 양정동 64-3번지 일원</t>
  </si>
  <si>
    <t>우암2주택재개발(뉴스테이연계형)</t>
  </si>
  <si>
    <t>지하3층 / 지상 최고 39층</t>
  </si>
  <si>
    <t>일반분양률이 50% 미만으로 낮고, 조합원세대당 대지 평수도 타 주택 재개발 대비 절반 수준임.</t>
  </si>
  <si>
    <t>면적 대비 세입자 및 조합원 수가 많아서 이주.철거 및 보상관련 사업비의 과다 지출이 예상되고, 수익성이 떨어질 것으로 사료됨.</t>
  </si>
  <si>
    <t>기준 : 50% 이상일 것. (재건축 30% 이상)</t>
  </si>
  <si>
    <t>(1단지 6개동 622세대 / 2단지 4개동 281세대)</t>
  </si>
  <si>
    <t>- 공가 멸실 확인서류 작성 ( 인감도장찍어야함 )</t>
  </si>
  <si>
    <t>- 공가 멸실 확인서 (매수자 인감도장찍힌 - 조합에)</t>
  </si>
  <si>
    <t xml:space="preserve">
(예상)
총
프
리
미
엄
(비례율 100%기준)</t>
  </si>
  <si>
    <t>(현재기준)
총
프
리
미
엄
(비례율 100%기준)</t>
  </si>
  <si>
    <t>* 매도자</t>
  </si>
  <si>
    <t>거제2구역</t>
  </si>
  <si>
    <t>59A㎡</t>
  </si>
  <si>
    <r>
      <rPr>
        <b/>
        <sz val="10"/>
        <color rgb="FF000000"/>
        <rFont val="맑은 고딕"/>
        <family val="3"/>
        <charset val="129"/>
      </rPr>
      <t>74B</t>
    </r>
    <r>
      <rPr>
        <b/>
        <sz val="10"/>
        <color rgb="FF000000"/>
        <rFont val="굴림"/>
        <family val="3"/>
        <charset val="129"/>
      </rPr>
      <t>㎡</t>
    </r>
  </si>
  <si>
    <t>조합원분양률</t>
  </si>
  <si>
    <r>
      <rPr>
        <b/>
        <sz val="10"/>
        <color rgb="FF000000"/>
        <rFont val="맑은 고딕"/>
        <family val="3"/>
        <charset val="129"/>
      </rPr>
      <t>39A</t>
    </r>
    <r>
      <rPr>
        <b/>
        <sz val="10"/>
        <color rgb="FF000000"/>
        <rFont val="굴림"/>
        <family val="3"/>
        <charset val="129"/>
      </rPr>
      <t>㎡</t>
    </r>
  </si>
  <si>
    <t>계산 층수</t>
  </si>
  <si>
    <t>대림이편한세상</t>
  </si>
  <si>
    <t>일반분양가대비</t>
  </si>
  <si>
    <r>
      <rPr>
        <b/>
        <sz val="10"/>
        <color rgb="FF000000"/>
        <rFont val="맑은 고딕"/>
        <family val="3"/>
        <charset val="129"/>
      </rPr>
      <t>75C</t>
    </r>
    <r>
      <rPr>
        <b/>
        <sz val="10"/>
        <color rgb="FF000000"/>
        <rFont val="굴림"/>
        <family val="3"/>
        <charset val="129"/>
      </rPr>
      <t>㎡</t>
    </r>
  </si>
  <si>
    <t xml:space="preserve">총 필요서류 </t>
  </si>
  <si>
    <t>인근시세 대비</t>
  </si>
  <si>
    <t>84A2</t>
  </si>
  <si>
    <t>총연면적</t>
  </si>
  <si>
    <t>추
진
현
황</t>
  </si>
  <si>
    <r>
      <rPr>
        <b/>
        <sz val="10"/>
        <color rgb="FF000000"/>
        <rFont val="맑은 고딕"/>
        <family val="3"/>
        <charset val="129"/>
      </rPr>
      <t>59D</t>
    </r>
    <r>
      <rPr>
        <b/>
        <sz val="10"/>
        <color rgb="FF000000"/>
        <rFont val="굴림"/>
        <family val="3"/>
        <charset val="129"/>
      </rPr>
      <t>㎡</t>
    </r>
  </si>
  <si>
    <r>
      <rPr>
        <b/>
        <sz val="10"/>
        <color rgb="FF000000"/>
        <rFont val="맑은 고딕"/>
        <family val="3"/>
        <charset val="129"/>
      </rPr>
      <t>59.98A</t>
    </r>
    <r>
      <rPr>
        <b/>
        <sz val="10"/>
        <color rgb="FF000000"/>
        <rFont val="굴림"/>
        <family val="3"/>
        <charset val="129"/>
      </rPr>
      <t>㎡</t>
    </r>
  </si>
  <si>
    <t>시공사선정</t>
  </si>
  <si>
    <t>대지면적 ㎡</t>
  </si>
  <si>
    <t>일반분양세대수</t>
  </si>
  <si>
    <t>72B1</t>
  </si>
  <si>
    <r>
      <rPr>
        <b/>
        <sz val="10"/>
        <color rgb="FF000000"/>
        <rFont val="맑은 고딕"/>
        <family val="3"/>
        <charset val="129"/>
      </rPr>
      <t>84B</t>
    </r>
    <r>
      <rPr>
        <b/>
        <sz val="10"/>
        <color rgb="FF000000"/>
        <rFont val="굴림"/>
        <family val="3"/>
        <charset val="129"/>
      </rPr>
      <t>㎡</t>
    </r>
  </si>
  <si>
    <t>온천4구역</t>
  </si>
  <si>
    <t>용도지역</t>
  </si>
  <si>
    <t>관리처분인가</t>
  </si>
  <si>
    <r>
      <rPr>
        <b/>
        <sz val="10"/>
        <color rgb="FF000000"/>
        <rFont val="맑은 고딕"/>
        <family val="3"/>
        <charset val="129"/>
      </rPr>
      <t>84T</t>
    </r>
    <r>
      <rPr>
        <b/>
        <sz val="10"/>
        <color rgb="FF000000"/>
        <rFont val="굴림"/>
        <family val="3"/>
        <charset val="129"/>
      </rPr>
      <t>㎡</t>
    </r>
  </si>
  <si>
    <r>
      <rPr>
        <b/>
        <sz val="10"/>
        <color rgb="FF000000"/>
        <rFont val="맑은 고딕"/>
        <family val="3"/>
        <charset val="129"/>
      </rPr>
      <t>59B</t>
    </r>
    <r>
      <rPr>
        <b/>
        <sz val="10"/>
        <color rgb="FF000000"/>
        <rFont val="굴림"/>
        <family val="3"/>
        <charset val="129"/>
      </rPr>
      <t>㎡</t>
    </r>
  </si>
  <si>
    <t>-등기권리증</t>
  </si>
  <si>
    <t>약 104%</t>
  </si>
  <si>
    <t>95A㎡</t>
  </si>
  <si>
    <t>최초 조합설립</t>
  </si>
  <si>
    <r>
      <rPr>
        <b/>
        <sz val="10"/>
        <color rgb="FF000000"/>
        <rFont val="맑은 고딕"/>
        <family val="3"/>
        <charset val="129"/>
      </rPr>
      <t>59C</t>
    </r>
    <r>
      <rPr>
        <b/>
        <sz val="10"/>
        <color rgb="FF000000"/>
        <rFont val="굴림"/>
        <family val="3"/>
        <charset val="129"/>
      </rPr>
      <t>㎡</t>
    </r>
  </si>
  <si>
    <t>-재직증명서</t>
  </si>
  <si>
    <t>레미안거제</t>
  </si>
  <si>
    <t>가칭 양정자이</t>
  </si>
  <si>
    <t>에일린의뜰</t>
  </si>
  <si>
    <t>115㎡</t>
  </si>
  <si>
    <t>72A3</t>
  </si>
  <si>
    <t>관리처분계획</t>
  </si>
  <si>
    <t>59B2</t>
  </si>
  <si>
    <t>동래그랑자이</t>
  </si>
  <si>
    <t>양정3구역</t>
  </si>
  <si>
    <t>72B2</t>
  </si>
  <si>
    <r>
      <rPr>
        <b/>
        <sz val="10"/>
        <color rgb="FF000000"/>
        <rFont val="맑은 고딕"/>
        <family val="3"/>
        <charset val="129"/>
      </rPr>
      <t>74C</t>
    </r>
    <r>
      <rPr>
        <b/>
        <sz val="10"/>
        <color rgb="FF000000"/>
        <rFont val="굴림"/>
        <family val="3"/>
        <charset val="129"/>
      </rPr>
      <t>㎡</t>
    </r>
  </si>
  <si>
    <t>명륜자이</t>
  </si>
  <si>
    <t>150P㎡</t>
  </si>
  <si>
    <t>구역지정</t>
  </si>
  <si>
    <t>59A2</t>
  </si>
  <si>
    <t>84C㎡</t>
  </si>
  <si>
    <t>건축면적 ㎡</t>
  </si>
  <si>
    <r>
      <rPr>
        <b/>
        <sz val="10"/>
        <color rgb="FF000000"/>
        <rFont val="맑은 고딕"/>
        <family val="3"/>
        <charset val="129"/>
      </rPr>
      <t>75A</t>
    </r>
    <r>
      <rPr>
        <b/>
        <sz val="10"/>
        <color rgb="FF000000"/>
        <rFont val="굴림"/>
        <family val="3"/>
        <charset val="129"/>
      </rPr>
      <t>㎡</t>
    </r>
  </si>
  <si>
    <t>84A㎡</t>
  </si>
  <si>
    <t>비례율(임의)</t>
  </si>
  <si>
    <r>
      <rPr>
        <b/>
        <sz val="10"/>
        <color rgb="FF000000"/>
        <rFont val="맑은 고딕"/>
        <family val="3"/>
        <charset val="129"/>
      </rPr>
      <t>59A</t>
    </r>
    <r>
      <rPr>
        <b/>
        <sz val="10"/>
        <color rgb="FF000000"/>
        <rFont val="굴림"/>
        <family val="3"/>
        <charset val="129"/>
      </rPr>
      <t>㎡</t>
    </r>
  </si>
  <si>
    <r>
      <rPr>
        <b/>
        <sz val="10"/>
        <color rgb="FF000000"/>
        <rFont val="맑은 고딕"/>
        <family val="3"/>
        <charset val="129"/>
      </rPr>
      <t>74A</t>
    </r>
    <r>
      <rPr>
        <b/>
        <sz val="10"/>
        <color rgb="FF000000"/>
        <rFont val="굴림"/>
        <family val="3"/>
        <charset val="129"/>
      </rPr>
      <t>㎡</t>
    </r>
  </si>
  <si>
    <t>71A㎡</t>
  </si>
  <si>
    <t>연면적 ㎡</t>
  </si>
  <si>
    <t>건축심의통과</t>
  </si>
  <si>
    <r>
      <rPr>
        <b/>
        <sz val="10"/>
        <color rgb="FF000000"/>
        <rFont val="맑은 고딕"/>
        <family val="3"/>
        <charset val="129"/>
      </rPr>
      <t>99A</t>
    </r>
    <r>
      <rPr>
        <b/>
        <sz val="10"/>
        <color rgb="FF000000"/>
        <rFont val="굴림"/>
        <family val="3"/>
        <charset val="129"/>
      </rPr>
      <t>㎡</t>
    </r>
  </si>
  <si>
    <t>레미안장전</t>
  </si>
  <si>
    <t>사업시행인가</t>
  </si>
  <si>
    <t>대림AMC</t>
  </si>
  <si>
    <t>푸르지오</t>
  </si>
  <si>
    <t>사업시행</t>
  </si>
  <si>
    <t>구역면적 ㎡</t>
  </si>
  <si>
    <t>복산1구역</t>
  </si>
  <si>
    <t>평형별(전용)</t>
  </si>
  <si>
    <t>최조 구역지정</t>
  </si>
  <si>
    <t>59B㎡</t>
  </si>
  <si>
    <t>건페율(임의)</t>
  </si>
  <si>
    <t>이주기간</t>
  </si>
  <si>
    <t>107A㎡</t>
  </si>
  <si>
    <t>양정2구역</t>
  </si>
  <si>
    <t>120A2</t>
  </si>
  <si>
    <t>72A2</t>
  </si>
  <si>
    <t>* 그외</t>
  </si>
  <si>
    <t>102A</t>
  </si>
  <si>
    <t>사
업
개
요</t>
  </si>
  <si>
    <t>----&gt;</t>
  </si>
  <si>
    <r>
      <rPr>
        <b/>
        <sz val="10"/>
        <color rgb="FF000000"/>
        <rFont val="맑은 고딕"/>
        <family val="3"/>
        <charset val="129"/>
      </rPr>
      <t>115</t>
    </r>
    <r>
      <rPr>
        <b/>
        <sz val="10"/>
        <color rgb="FF000000"/>
        <rFont val="굴림"/>
        <family val="3"/>
        <charset val="129"/>
      </rPr>
      <t>㎡</t>
    </r>
  </si>
  <si>
    <t>114B</t>
  </si>
  <si>
    <t>101B</t>
  </si>
  <si>
    <r>
      <rPr>
        <b/>
        <sz val="10"/>
        <color rgb="FF000000"/>
        <rFont val="맑은 고딕"/>
        <family val="3"/>
        <charset val="129"/>
      </rPr>
      <t>84.99A</t>
    </r>
    <r>
      <rPr>
        <b/>
        <sz val="10"/>
        <color rgb="FF000000"/>
        <rFont val="굴림"/>
        <family val="3"/>
        <charset val="129"/>
      </rPr>
      <t>㎡</t>
    </r>
  </si>
  <si>
    <r>
      <rPr>
        <b/>
        <sz val="10"/>
        <color rgb="FF000000"/>
        <rFont val="맑은 고딕"/>
        <family val="3"/>
        <charset val="129"/>
      </rPr>
      <t>72.35B</t>
    </r>
    <r>
      <rPr>
        <b/>
        <sz val="10"/>
        <color rgb="FF000000"/>
        <rFont val="굴림"/>
        <family val="3"/>
        <charset val="129"/>
      </rPr>
      <t>㎡</t>
    </r>
  </si>
  <si>
    <t>조합원분양신청</t>
  </si>
  <si>
    <t>대연파크기준</t>
  </si>
  <si>
    <t>조합원세대수</t>
  </si>
  <si>
    <t>121A/45</t>
  </si>
  <si>
    <t>84B/33</t>
  </si>
  <si>
    <t>추진위원회승인</t>
  </si>
  <si>
    <t>총세대수</t>
  </si>
  <si>
    <t>102B</t>
  </si>
  <si>
    <t>84B2</t>
  </si>
  <si>
    <t>GS건설</t>
  </si>
  <si>
    <t>99A㎡</t>
  </si>
  <si>
    <t>101㎡</t>
  </si>
  <si>
    <t>59A/25</t>
  </si>
  <si>
    <t>99B㎡</t>
  </si>
  <si>
    <t>121B/45</t>
  </si>
  <si>
    <r>
      <rPr>
        <b/>
        <sz val="10"/>
        <color rgb="FF000000"/>
        <rFont val="맑은 고딕"/>
        <family val="3"/>
        <charset val="129"/>
      </rPr>
      <t>75B</t>
    </r>
    <r>
      <rPr>
        <b/>
        <sz val="10"/>
        <color rgb="FF000000"/>
        <rFont val="굴림"/>
        <family val="3"/>
        <charset val="129"/>
      </rPr>
      <t>㎡</t>
    </r>
  </si>
  <si>
    <t>84D㎡</t>
  </si>
  <si>
    <t>아이에스동서</t>
  </si>
  <si>
    <t>84C2</t>
  </si>
  <si>
    <t>84T㎡</t>
  </si>
  <si>
    <t>공공임대</t>
  </si>
  <si>
    <t>72A1</t>
  </si>
  <si>
    <t>두산건설</t>
  </si>
  <si>
    <t>84A1</t>
  </si>
  <si>
    <t>일반상업지역</t>
  </si>
  <si>
    <t>59B1</t>
  </si>
  <si>
    <t>일반분양률</t>
  </si>
  <si>
    <t>중흥 S틀레스</t>
  </si>
  <si>
    <t>조합설립</t>
  </si>
  <si>
    <t>삼성물산</t>
  </si>
  <si>
    <t>전량 조합원</t>
  </si>
  <si>
    <t>총세대수(약)</t>
  </si>
  <si>
    <t>대연8구역</t>
  </si>
  <si>
    <r>
      <rPr>
        <b/>
        <sz val="10"/>
        <color rgb="FF000000"/>
        <rFont val="맑은 고딕"/>
        <family val="3"/>
        <charset val="129"/>
      </rPr>
      <t>99B</t>
    </r>
    <r>
      <rPr>
        <b/>
        <sz val="10"/>
        <color rgb="FF000000"/>
        <rFont val="굴림"/>
        <family val="3"/>
        <charset val="129"/>
      </rPr>
      <t>㎡</t>
    </r>
  </si>
  <si>
    <t>범천1-1구역</t>
  </si>
  <si>
    <t>101A/38</t>
  </si>
  <si>
    <t>84B㎡</t>
  </si>
  <si>
    <t>59A1</t>
  </si>
  <si>
    <t>양정1구역</t>
  </si>
  <si>
    <r>
      <rPr>
        <b/>
        <sz val="10"/>
        <color rgb="FF000000"/>
        <rFont val="맑은 고딕"/>
        <family val="3"/>
        <charset val="129"/>
      </rPr>
      <t>69A</t>
    </r>
    <r>
      <rPr>
        <b/>
        <sz val="10"/>
        <color rgb="FF000000"/>
        <rFont val="굴림"/>
        <family val="3"/>
        <charset val="129"/>
      </rPr>
      <t>㎡</t>
    </r>
  </si>
  <si>
    <t>84C1</t>
  </si>
  <si>
    <t>세
대
구
성</t>
  </si>
  <si>
    <t>-인감증명서</t>
  </si>
  <si>
    <t>동삼2구역</t>
  </si>
  <si>
    <t>우암1구역</t>
  </si>
  <si>
    <t>120A1</t>
  </si>
  <si>
    <t>159/64</t>
  </si>
  <si>
    <t>롯데건설</t>
  </si>
  <si>
    <t>일반분양</t>
  </si>
  <si>
    <t>대연4구역</t>
  </si>
  <si>
    <t>114A</t>
  </si>
  <si>
    <t>괴정5구역</t>
  </si>
  <si>
    <t>우동3구역</t>
  </si>
  <si>
    <t>인근시세대비</t>
  </si>
  <si>
    <t>우암2구역</t>
  </si>
  <si>
    <t>최초 구역지정</t>
  </si>
  <si>
    <t>52/22</t>
  </si>
  <si>
    <t>대연3구역</t>
  </si>
  <si>
    <t>이주.철거</t>
  </si>
  <si>
    <t>조합연락처</t>
  </si>
  <si>
    <t>39/18</t>
  </si>
  <si>
    <t>-인감도장</t>
  </si>
  <si>
    <t>163/66</t>
  </si>
  <si>
    <t>118㎡</t>
  </si>
  <si>
    <t>59B/25</t>
  </si>
  <si>
    <t>현재 철거 중</t>
  </si>
  <si>
    <t>135㎡</t>
  </si>
  <si>
    <t>-신분증</t>
  </si>
  <si>
    <t>101A</t>
  </si>
  <si>
    <t>84C/34</t>
  </si>
  <si>
    <t>101B/38</t>
  </si>
  <si>
    <t>67B/28</t>
  </si>
  <si>
    <t>대림산업</t>
  </si>
  <si>
    <t>112㎡</t>
  </si>
  <si>
    <r>
      <rPr>
        <b/>
        <sz val="10"/>
        <color rgb="FF000000"/>
        <rFont val="맑은 고딕"/>
        <family val="3"/>
        <charset val="129"/>
      </rPr>
      <t>84A</t>
    </r>
    <r>
      <rPr>
        <b/>
        <sz val="10"/>
        <color rgb="FF000000"/>
        <rFont val="굴림"/>
        <family val="3"/>
        <charset val="129"/>
      </rPr>
      <t>㎡</t>
    </r>
  </si>
  <si>
    <t>67A/28</t>
  </si>
  <si>
    <t>73B/30</t>
  </si>
  <si>
    <t>감만1구역</t>
  </si>
  <si>
    <t>3. 매매서류</t>
  </si>
  <si>
    <t>용호2구역</t>
  </si>
  <si>
    <t>84A/34</t>
  </si>
  <si>
    <t>39.75㎡</t>
  </si>
  <si>
    <t>태영 데시앙</t>
  </si>
  <si>
    <t>121A㎡</t>
  </si>
  <si>
    <t>용호3구역</t>
  </si>
  <si>
    <t>73A/30</t>
  </si>
  <si>
    <t>* 매수자</t>
  </si>
  <si>
    <t>84B/34</t>
  </si>
  <si>
    <r>
      <rPr>
        <b/>
        <sz val="10"/>
        <color rgb="FF000000"/>
        <rFont val="맑은 고딕"/>
        <family val="3"/>
        <charset val="129"/>
      </rPr>
      <t>99.68</t>
    </r>
    <r>
      <rPr>
        <b/>
        <sz val="10"/>
        <color rgb="FF000000"/>
        <rFont val="굴림"/>
        <family val="3"/>
        <charset val="129"/>
      </rPr>
      <t>㎡</t>
    </r>
  </si>
  <si>
    <t>건축규모</t>
  </si>
  <si>
    <t>전용면적 기준</t>
  </si>
  <si>
    <t>84A/33</t>
  </si>
  <si>
    <t>69B㎡</t>
  </si>
  <si>
    <t>73C/30</t>
  </si>
  <si>
    <t>대우건설</t>
  </si>
  <si>
    <t>153㎡</t>
  </si>
  <si>
    <t>84B1</t>
  </si>
  <si>
    <t xml:space="preserve">- 주민등록등본 2통 </t>
  </si>
  <si>
    <t>지하5층 / 지상최고34층</t>
  </si>
  <si>
    <t>우암1구역 주택재개발정비사업</t>
  </si>
  <si>
    <t>우암1동 129번지 일원</t>
  </si>
  <si>
    <t>서금사 재정비 촉진5구역</t>
  </si>
  <si>
    <t>2019년 1/18~4/27</t>
  </si>
  <si>
    <t>인근시세 대비
총프리미엄</t>
  </si>
  <si>
    <t>GS + SK + 포스코</t>
  </si>
  <si>
    <t xml:space="preserve">- 인감증명서 일반용 1통 </t>
  </si>
  <si>
    <t>-등기부등본(토지,건물)</t>
  </si>
  <si>
    <t>지하5층 / 지상최고28층</t>
  </si>
  <si>
    <t>지하4층 / 지상최고35층</t>
  </si>
  <si>
    <t>용호2주택재개발정비구역</t>
  </si>
  <si>
    <t>서금사 재정비 촉진A구역</t>
  </si>
  <si>
    <t>용호3동 434번지 일원</t>
  </si>
  <si>
    <t>조합원세대당 대지지분 (평)</t>
  </si>
  <si>
    <t>대연2동 1619번지 일원</t>
  </si>
  <si>
    <t>- 가족관계증명서 1통</t>
  </si>
  <si>
    <t xml:space="preserve">세대구성 총연면적 대비 </t>
  </si>
  <si>
    <t>가상일반분양가 대비
수익</t>
  </si>
  <si>
    <t>051-611-9993</t>
  </si>
  <si>
    <t>범천동 850-1번지 일월</t>
  </si>
  <si>
    <t>지하4층 / 지상최고45층</t>
  </si>
  <si>
    <t>~2019년 1월 4일</t>
  </si>
  <si>
    <t>대우 + 동부 컨소시엄</t>
  </si>
  <si>
    <t>지하4층 / 지상35층</t>
  </si>
  <si>
    <t>19년 1/1~3/30</t>
  </si>
  <si>
    <t>일반분양세대수
(뉴스테이)</t>
  </si>
  <si>
    <t>대연4동 1173번지 일원</t>
  </si>
  <si>
    <t>지하4층 / 지상최고38층</t>
  </si>
  <si>
    <t>지하4층 / 지상최고55층</t>
  </si>
  <si>
    <t>일반분양가 대비
총 프리미엄</t>
  </si>
  <si>
    <t>지하4층 / 지상최고36층</t>
  </si>
  <si>
    <t>(임대 87세대 포함)</t>
  </si>
  <si>
    <t>조합원세대당 대지 평수</t>
  </si>
  <si>
    <t>051-628-1217</t>
  </si>
  <si>
    <t>용호2동 549번지 일원</t>
  </si>
  <si>
    <t>대연4동 1203번지 일원</t>
  </si>
  <si>
    <t>용호예가 인근시세 기준</t>
  </si>
  <si>
    <t>세
대
구
성
(임의)</t>
  </si>
  <si>
    <t>좌천범일통합3지구</t>
  </si>
  <si>
    <t xml:space="preserve">
수
익
(현재기준)</t>
  </si>
  <si>
    <t>2018.07.01</t>
  </si>
  <si>
    <t>2022년 예정</t>
  </si>
  <si>
    <t>일반(뉴스테이)</t>
  </si>
  <si>
    <t>2008.12.19</t>
  </si>
  <si>
    <t>대림 전량 인수</t>
  </si>
  <si>
    <t>제3종일반주거지역</t>
  </si>
  <si>
    <t>38㎡ (임대)</t>
  </si>
  <si>
    <t>대연3주택재개발</t>
  </si>
  <si>
    <t>2023년 예정</t>
  </si>
  <si>
    <t>지하5층/지상35층</t>
  </si>
  <si>
    <t>조합설립 변경인가</t>
  </si>
  <si>
    <t>2015.03.11</t>
  </si>
  <si>
    <t>2018.06.25</t>
  </si>
  <si>
    <t>지하2층/지상35층</t>
  </si>
  <si>
    <t>2006.06.09</t>
  </si>
  <si>
    <t>2018.06.18</t>
  </si>
  <si>
    <t>푸르지오센트레빌</t>
  </si>
  <si>
    <t>2026년 예정</t>
  </si>
  <si>
    <t>대연파크푸르지오</t>
  </si>
  <si>
    <t xml:space="preserve">- 인감증명서 3통 </t>
  </si>
  <si>
    <t>2016.11.16</t>
  </si>
  <si>
    <t>2016.12.23</t>
  </si>
  <si>
    <t>2008.06.18</t>
  </si>
  <si>
    <t>2008.12.22</t>
  </si>
  <si>
    <t>2016.05.11</t>
  </si>
  <si>
    <t>4. 이주지원센터</t>
  </si>
  <si>
    <t>2019년말 예정</t>
  </si>
  <si>
    <t>2006.10.14</t>
  </si>
  <si>
    <t>수
익
(현재기준)</t>
  </si>
  <si>
    <t>2007.08.01</t>
  </si>
  <si>
    <t>2009.05.25</t>
  </si>
  <si>
    <t>2016.12.18</t>
  </si>
  <si>
    <t>-원천징수영수증</t>
  </si>
  <si>
    <t>2018.05.18</t>
  </si>
  <si>
    <t>2017.12.14</t>
  </si>
  <si>
    <t>2018.07.05</t>
  </si>
  <si>
    <t>84A (추정)</t>
  </si>
  <si>
    <t>39/18 (o/t)</t>
  </si>
  <si>
    <t>2017.02.08</t>
  </si>
  <si>
    <t>39/18 (도시형)</t>
  </si>
  <si>
    <t>가칭 KCC스위첸</t>
  </si>
  <si>
    <t>2018.11.02</t>
  </si>
  <si>
    <t>2017.09.13</t>
  </si>
  <si>
    <t>2009.12.23</t>
  </si>
  <si>
    <t>-신분증 앞뒤 사본</t>
  </si>
  <si>
    <t>2008.02.12</t>
  </si>
  <si>
    <t>2018.09.11</t>
  </si>
  <si>
    <t>포스코 + 롯데</t>
  </si>
  <si>
    <t>2005.11.16</t>
  </si>
  <si>
    <t>2019년 7월 예정</t>
  </si>
  <si>
    <t>2008.09.17</t>
  </si>
  <si>
    <t>(임대 ?세대 포함)</t>
  </si>
  <si>
    <t>2019년 예정</t>
  </si>
  <si>
    <t>2017.04.05</t>
  </si>
  <si>
    <t>39/18 (임대)</t>
  </si>
  <si>
    <t>2018.03.07</t>
  </si>
  <si>
    <t>2014.12.30</t>
  </si>
  <si>
    <t>2014.12.15</t>
  </si>
  <si>
    <t>이주비 60% 무이자</t>
  </si>
  <si>
    <r>
      <rPr>
        <b/>
        <sz val="10"/>
        <color rgb="FF000000"/>
        <rFont val="맑은 고딕"/>
        <family val="3"/>
        <charset val="129"/>
      </rPr>
      <t>38</t>
    </r>
    <r>
      <rPr>
        <b/>
        <sz val="10"/>
        <color rgb="FF000000"/>
        <rFont val="굴림"/>
        <family val="3"/>
        <charset val="129"/>
      </rPr>
      <t>㎡</t>
    </r>
    <r>
      <rPr>
        <b/>
        <sz val="10"/>
        <color rgb="FF000000"/>
        <rFont val="맑은 고딕"/>
        <family val="3"/>
        <charset val="129"/>
      </rPr>
      <t xml:space="preserve"> (임대)</t>
    </r>
  </si>
  <si>
    <t>2018.09.26</t>
  </si>
  <si>
    <t>2006.11.23</t>
  </si>
  <si>
    <t>2017.04.17</t>
  </si>
  <si>
    <t>(공공임대포함)</t>
  </si>
  <si>
    <t>일반분양가 대비
수익</t>
  </si>
  <si>
    <t>2019년 1월 예정</t>
  </si>
  <si>
    <t>2008.05.21</t>
  </si>
  <si>
    <t>2004.12.30</t>
  </si>
  <si>
    <t>2018년 12월</t>
  </si>
  <si>
    <t>현재 인근평당시세</t>
  </si>
  <si>
    <t>2018.03.22</t>
  </si>
  <si>
    <t>2016.09.12</t>
  </si>
  <si>
    <t>2017.09.19</t>
  </si>
  <si>
    <t>온천장레미안포레스티지</t>
  </si>
  <si>
    <t>분양 7, 임대1</t>
  </si>
  <si>
    <t>2020년 예정</t>
  </si>
  <si>
    <t>2015.11.17</t>
  </si>
  <si>
    <t>조합원세대수(약)</t>
  </si>
  <si>
    <t>2018.03.27</t>
  </si>
  <si>
    <t>2007.09.21</t>
  </si>
  <si>
    <t>2005.05.18</t>
  </si>
  <si>
    <t>2016.01.07</t>
  </si>
  <si>
    <t>2007.01.10</t>
  </si>
  <si>
    <t>2008.01.30</t>
  </si>
  <si>
    <t>2015.07.31</t>
  </si>
  <si>
    <t>2005.06.22</t>
  </si>
  <si>
    <t>2017.08.21</t>
  </si>
  <si>
    <t>2017.12.04</t>
  </si>
  <si>
    <t>기업형임대사업자</t>
  </si>
  <si>
    <t>거제2구역 주택재개발</t>
  </si>
  <si>
    <t>2017.11.03</t>
  </si>
  <si>
    <t>관리처분변경인가</t>
  </si>
  <si>
    <t>지하5층/지상45층</t>
  </si>
  <si>
    <t>사업시행인가공람공고</t>
  </si>
  <si>
    <t>2024년 예정</t>
  </si>
  <si>
    <t>2017.07.05</t>
  </si>
  <si>
    <t>동삼동383번지 일원</t>
  </si>
  <si>
    <t>대연8주택재개발</t>
  </si>
  <si>
    <t>2017.03.24</t>
  </si>
  <si>
    <t>복산1구역 주택재개발</t>
  </si>
  <si>
    <t>한토신 전량 인수</t>
  </si>
  <si>
    <t>2021년 예정</t>
  </si>
  <si>
    <t>평형별(전용)\</t>
  </si>
  <si>
    <t>2006.09.13</t>
  </si>
  <si>
    <t>2007.07.20</t>
  </si>
  <si>
    <t>2016.12.26</t>
  </si>
  <si>
    <t>2025년 예정</t>
  </si>
  <si>
    <t>2005.06.17</t>
  </si>
  <si>
    <t>2008.07.16</t>
  </si>
  <si>
    <t>인근시세 대비
수익</t>
  </si>
  <si>
    <t>지하2층/지상49층</t>
  </si>
  <si>
    <t>사업시행변경인가</t>
  </si>
  <si>
    <t>54㎡ (O/T)</t>
  </si>
  <si>
    <t>2007.10.12</t>
  </si>
  <si>
    <t>대연4주택재개발</t>
  </si>
  <si>
    <t>2018.08.21</t>
  </si>
  <si>
    <t>2010.06.16</t>
  </si>
  <si>
    <t>2018.12.11</t>
  </si>
  <si>
    <t>28㎡ (O/T)</t>
  </si>
  <si>
    <t>2009.05.27</t>
  </si>
  <si>
    <t>2005.06.29</t>
  </si>
  <si>
    <t>2006.09.27</t>
  </si>
  <si>
    <t>2017.06.28</t>
  </si>
  <si>
    <t>2018.07.09</t>
  </si>
  <si>
    <t>2017.07.12</t>
  </si>
  <si>
    <t>2005.03.30</t>
  </si>
  <si>
    <t>2017.06.07</t>
  </si>
  <si>
    <t>한토신(한국토지신탁)</t>
  </si>
  <si>
    <t>동삼2구역주택재개발</t>
  </si>
  <si>
    <t>지하4층/지상60층</t>
  </si>
  <si>
    <t>2018.02.14</t>
  </si>
  <si>
    <t>2012.03.29</t>
  </si>
  <si>
    <t>우동3주택재개발</t>
  </si>
  <si>
    <t>부산시 남구 감만1동 312번지 일원</t>
  </si>
  <si>
    <t>기준 : 세대구성 총연면적보다 클 것.</t>
  </si>
  <si>
    <t>총
프
리
미
엄
(비례율 100%기준)</t>
  </si>
  <si>
    <t>부산시 동래구 온천동 100-13번지 일원</t>
  </si>
  <si>
    <t>삼성물산+대림산업+현대산업개발 컨소시엄</t>
  </si>
  <si>
    <t>부산시 해운대구 우1동 299번지 일원</t>
  </si>
  <si>
    <t>부산광역시 남구 우암동 189번지 일원</t>
  </si>
  <si>
    <t>부산시 연제구 거제동 802번지 일원</t>
  </si>
  <si>
    <t>태영(55%)+효성(45%) 컨소시엄</t>
  </si>
  <si>
    <t>-인감증명서(매도용,매수자인적사항포함)</t>
  </si>
  <si>
    <t>감만1구역 주택재개발 (뉴스테이 연계형)</t>
  </si>
  <si>
    <t xml:space="preserve"> 주민등록초본1통 (주소변동사항포람)</t>
  </si>
  <si>
    <t>- 주민등록초본 1통 (주소변동사항포함)</t>
  </si>
  <si>
    <t>부산 사하구 괴정동 656-7번지 일원</t>
  </si>
  <si>
    <t>동구 범일5동 252-1562번지 일원</t>
  </si>
  <si>
    <t>39B</t>
  </si>
  <si>
    <t>위치</t>
  </si>
  <si>
    <t>48</t>
  </si>
  <si>
    <t>145</t>
  </si>
  <si>
    <t>97</t>
  </si>
  <si>
    <t>75B</t>
  </si>
  <si>
    <t>73B</t>
  </si>
  <si>
    <t>147</t>
  </si>
  <si>
    <t>조합원</t>
  </si>
  <si>
    <t>120</t>
  </si>
  <si>
    <t>59</t>
  </si>
  <si>
    <t>39㎡</t>
  </si>
  <si>
    <t>미정</t>
  </si>
  <si>
    <t>135</t>
  </si>
  <si>
    <t>단지명</t>
  </si>
  <si>
    <r>
      <rPr>
        <b/>
        <sz val="10"/>
        <color rgb="FF000000"/>
        <rFont val="맑은 고딕"/>
        <family val="3"/>
        <charset val="129"/>
      </rPr>
      <t>59</t>
    </r>
    <r>
      <rPr>
        <b/>
        <sz val="10"/>
        <color rgb="FF000000"/>
        <rFont val="굴림"/>
        <family val="3"/>
        <charset val="129"/>
      </rPr>
      <t>㎡</t>
    </r>
  </si>
  <si>
    <t>47</t>
  </si>
  <si>
    <t>75</t>
  </si>
  <si>
    <t>72B</t>
  </si>
  <si>
    <t>동수</t>
  </si>
  <si>
    <t>110</t>
  </si>
  <si>
    <t>건페율</t>
  </si>
  <si>
    <t>107</t>
  </si>
  <si>
    <t>1단지</t>
  </si>
  <si>
    <t>50㎡</t>
  </si>
  <si>
    <t>39A</t>
  </si>
  <si>
    <t>132</t>
  </si>
  <si>
    <t>73</t>
  </si>
  <si>
    <t>일반</t>
  </si>
  <si>
    <t>84C</t>
  </si>
  <si>
    <t>-</t>
  </si>
  <si>
    <t>59T</t>
  </si>
  <si>
    <t>39</t>
  </si>
  <si>
    <t>3단지</t>
  </si>
  <si>
    <t>74B</t>
  </si>
  <si>
    <t>시공사</t>
  </si>
  <si>
    <t>72C</t>
  </si>
  <si>
    <t>46</t>
  </si>
  <si>
    <t>2단지</t>
  </si>
  <si>
    <t>철거</t>
  </si>
  <si>
    <t>위브</t>
  </si>
  <si>
    <t>준공</t>
  </si>
  <si>
    <r>
      <rPr>
        <b/>
        <sz val="10"/>
        <color rgb="FF000000"/>
        <rFont val="맑은 고딕"/>
        <family val="3"/>
        <charset val="129"/>
      </rPr>
      <t>74</t>
    </r>
    <r>
      <rPr>
        <b/>
        <sz val="10"/>
        <color rgb="FF000000"/>
        <rFont val="굴림"/>
        <family val="3"/>
        <charset val="129"/>
      </rPr>
      <t>㎡</t>
    </r>
  </si>
  <si>
    <t>임대</t>
  </si>
  <si>
    <t>84</t>
  </si>
  <si>
    <t>평형별</t>
  </si>
  <si>
    <t>이주</t>
  </si>
  <si>
    <t>115</t>
  </si>
  <si>
    <t>점유율</t>
  </si>
  <si>
    <t>49A</t>
  </si>
  <si>
    <t>38㎡</t>
  </si>
  <si>
    <t>100</t>
  </si>
  <si>
    <t>72A</t>
  </si>
  <si>
    <t>완료</t>
  </si>
  <si>
    <t>49B</t>
  </si>
  <si>
    <t>-도장</t>
  </si>
  <si>
    <t>SUM</t>
  </si>
  <si>
    <t>KCC</t>
  </si>
  <si>
    <t>49</t>
  </si>
  <si>
    <t>보류</t>
  </si>
  <si>
    <t>용적률</t>
  </si>
  <si>
    <t>비례율</t>
  </si>
  <si>
    <t>73A</t>
  </si>
  <si>
    <t>37</t>
  </si>
  <si>
    <t>비고</t>
  </si>
  <si>
    <t>구역명</t>
  </si>
  <si>
    <t>84A</t>
  </si>
  <si>
    <t>59A</t>
  </si>
  <si>
    <t>74A</t>
  </si>
  <si>
    <t>59B</t>
  </si>
  <si>
    <t>84T</t>
  </si>
  <si>
    <t>75A</t>
  </si>
  <si>
    <t>84B</t>
  </si>
  <si>
    <t>완료</t>
    <phoneticPr fontId="16" type="noConversion"/>
  </si>
  <si>
    <t>2019.02.21</t>
    <phoneticPr fontId="16" type="noConversion"/>
  </si>
  <si>
    <t>관리처분계획</t>
    <phoneticPr fontId="16" type="noConversion"/>
  </si>
  <si>
    <t>관리처분총회</t>
    <phoneticPr fontId="16" type="noConversion"/>
  </si>
  <si>
    <t>전포1-1구역</t>
    <phoneticPr fontId="16" type="noConversion"/>
  </si>
  <si>
    <t>이편한세상 전포</t>
    <phoneticPr fontId="16" type="noConversion"/>
  </si>
  <si>
    <t>전포동 15-2번지 일원</t>
    <phoneticPr fontId="16" type="noConversion"/>
  </si>
  <si>
    <t>2005.06.22</t>
    <phoneticPr fontId="16" type="noConversion"/>
  </si>
  <si>
    <t>2005.06.29</t>
    <phoneticPr fontId="16" type="noConversion"/>
  </si>
  <si>
    <t>2016.01.20</t>
    <phoneticPr fontId="16" type="noConversion"/>
  </si>
  <si>
    <t>2017.04.13</t>
    <phoneticPr fontId="16" type="noConversion"/>
  </si>
  <si>
    <t>~2019.10.28</t>
    <phoneticPr fontId="16" type="noConversion"/>
  </si>
  <si>
    <t>~2017.09.30</t>
    <phoneticPr fontId="16" type="noConversion"/>
  </si>
  <si>
    <t>2019년 4월 예정</t>
    <phoneticPr fontId="16" type="noConversion"/>
  </si>
  <si>
    <t>지하5층 / 지상35층</t>
    <phoneticPr fontId="16" type="noConversion"/>
  </si>
  <si>
    <t>대림건설</t>
    <phoneticPr fontId="16" type="noConversion"/>
  </si>
  <si>
    <t>(임대 73세대 별도)</t>
    <phoneticPr fontId="16" type="noConversion"/>
  </si>
  <si>
    <t>59C/25</t>
    <phoneticPr fontId="16" type="noConversion"/>
  </si>
  <si>
    <t>74A/30</t>
    <phoneticPr fontId="16" type="noConversion"/>
  </si>
  <si>
    <t>74B/30</t>
    <phoneticPr fontId="16" type="noConversion"/>
  </si>
  <si>
    <t>99A/40</t>
    <phoneticPr fontId="16" type="noConversion"/>
  </si>
  <si>
    <t>99B/40</t>
    <phoneticPr fontId="16" type="noConversion"/>
  </si>
  <si>
    <t>107A/43</t>
    <phoneticPr fontId="16" type="noConversion"/>
  </si>
  <si>
    <t>107B/43</t>
    <phoneticPr fontId="16" type="noConversion"/>
  </si>
  <si>
    <t>39/18(임대)</t>
    <phoneticPr fontId="16" type="noConversion"/>
  </si>
  <si>
    <t>2019년 완료예정</t>
    <phoneticPr fontId="16" type="noConversion"/>
  </si>
  <si>
    <t>계약금 10% 잔금 90% (중도금x)</t>
    <phoneticPr fontId="16" type="noConversion"/>
  </si>
  <si>
    <t xml:space="preserve">
(현재기준)
예
상
총
프
리
미
엄
(비례율 100%기준)</t>
    <phoneticPr fontId="16" type="noConversion"/>
  </si>
  <si>
    <t>101동 7층 이상 배정</t>
    <phoneticPr fontId="16" type="noConversion"/>
  </si>
  <si>
    <t>105,106,107동 14층 이상 배정</t>
    <phoneticPr fontId="16" type="noConversion"/>
  </si>
  <si>
    <t>조합원 혜택</t>
    <phoneticPr fontId="16" type="noConversion"/>
  </si>
  <si>
    <t>비고 (조합원 배정 층)</t>
    <phoneticPr fontId="16" type="noConversion"/>
  </si>
  <si>
    <t>공공임대 188</t>
    <phoneticPr fontId="16" type="noConversion"/>
  </si>
  <si>
    <t>전체</t>
    <phoneticPr fontId="16" type="noConversion"/>
  </si>
  <si>
    <t>10~35층</t>
    <phoneticPr fontId="16" type="noConversion"/>
  </si>
  <si>
    <t>30~34층</t>
    <phoneticPr fontId="16" type="noConversion"/>
  </si>
  <si>
    <t>30~35층</t>
    <phoneticPr fontId="16" type="noConversion"/>
  </si>
  <si>
    <t>24~44층</t>
    <phoneticPr fontId="16" type="noConversion"/>
  </si>
  <si>
    <t>30~33층</t>
    <phoneticPr fontId="16" type="noConversion"/>
  </si>
  <si>
    <t>30~42층</t>
    <phoneticPr fontId="16" type="noConversion"/>
  </si>
  <si>
    <t>30~40층</t>
    <phoneticPr fontId="16" type="noConversion"/>
  </si>
  <si>
    <t>59C㎡</t>
  </si>
  <si>
    <t>59D㎡</t>
  </si>
  <si>
    <t>기준 : 25평 이상일 것.</t>
    <phoneticPr fontId="16" type="noConversion"/>
  </si>
  <si>
    <t>기준 : 25평 이상일 것.</t>
    <phoneticPr fontId="16" type="noConversion"/>
  </si>
  <si>
    <t>기준 : 25평 이상일 것.</t>
    <phoneticPr fontId="16" type="noConversion"/>
  </si>
  <si>
    <t xml:space="preserve">보류지 17세대, 임대주택 238세대 포함 </t>
    <phoneticPr fontId="16" type="noConversion"/>
  </si>
  <si>
    <t>조합원</t>
    <phoneticPr fontId="16" type="noConversion"/>
  </si>
  <si>
    <t>일반</t>
    <phoneticPr fontId="16" type="noConversion"/>
  </si>
  <si>
    <t>보류지</t>
    <phoneticPr fontId="16" type="noConversion"/>
  </si>
  <si>
    <t>비례율</t>
    <phoneticPr fontId="16" type="noConversion"/>
  </si>
  <si>
    <t xml:space="preserve">발코니무상확장(안방제외) / 전실시스템에어콘 / 빌트인냉장고 / LED TV(55인치) / 드럼세탁기(14kg)-건조기능포함 / 광파오븐 / </t>
    <phoneticPr fontId="16" type="noConversion"/>
  </si>
  <si>
    <t>주방상판 벽 엔지니어스톤 /부부욕실비데 / 중문 / 전동빨래건조대 / 침실3 붙박이장</t>
    <phoneticPr fontId="16" type="noConversion"/>
  </si>
  <si>
    <t>84D/34</t>
    <phoneticPr fontId="16" type="noConversion"/>
  </si>
  <si>
    <t>84E/34</t>
    <phoneticPr fontId="16" type="noConversion"/>
  </si>
  <si>
    <t>105동 17층 이상 배정
106동 17층 이상 배정
107동 17층 이상 배정
108동 22층 이상 배정</t>
    <phoneticPr fontId="16" type="noConversion"/>
  </si>
  <si>
    <t>103동 9층 이상 배정</t>
    <phoneticPr fontId="16" type="noConversion"/>
  </si>
  <si>
    <t>101동 8층 이상 배정</t>
    <phoneticPr fontId="16" type="noConversion"/>
  </si>
  <si>
    <t>102동 10층 이상 배정</t>
    <phoneticPr fontId="16" type="noConversion"/>
  </si>
  <si>
    <t>107동 7층 이상 배정</t>
    <phoneticPr fontId="16" type="noConversion"/>
  </si>
  <si>
    <t>75A조합원분양가</t>
    <phoneticPr fontId="16" type="noConversion"/>
  </si>
  <si>
    <t>권리가</t>
    <phoneticPr fontId="16" type="noConversion"/>
  </si>
  <si>
    <t>분담금</t>
    <phoneticPr fontId="16" type="noConversion"/>
  </si>
  <si>
    <t>대림, SK, 한화, 고려개발</t>
    <phoneticPr fontId="16" type="noConversion"/>
  </si>
  <si>
    <t>사업대행자 : 한국토지신탁 (19년2월13일 결정)</t>
    <phoneticPr fontId="16" type="noConversion"/>
  </si>
  <si>
    <t>2019년 4월 1일</t>
    <phoneticPr fontId="16" type="noConversion"/>
  </si>
  <si>
    <t>2018.12.23</t>
    <phoneticPr fontId="16" type="noConversion"/>
  </si>
  <si>
    <t>문현1구역</t>
    <phoneticPr fontId="16" type="noConversion"/>
  </si>
  <si>
    <t>문현1구역 도시환경정비사업</t>
    <phoneticPr fontId="16" type="noConversion"/>
  </si>
  <si>
    <t>문현2동 765번지 일원</t>
    <phoneticPr fontId="16" type="noConversion"/>
  </si>
  <si>
    <t>일반상업지역</t>
    <phoneticPr fontId="16" type="noConversion"/>
  </si>
  <si>
    <t>기준 : 25평 이상일 것.</t>
    <phoneticPr fontId="16" type="noConversion"/>
  </si>
  <si>
    <t>(임대 세대 별도)</t>
    <phoneticPr fontId="16" type="noConversion"/>
  </si>
  <si>
    <t>지하4층 / 지상65층</t>
    <phoneticPr fontId="16" type="noConversion"/>
  </si>
  <si>
    <t>비례율</t>
    <phoneticPr fontId="16" type="noConversion"/>
  </si>
  <si>
    <t>추진위원회</t>
    <phoneticPr fontId="16" type="noConversion"/>
  </si>
  <si>
    <t>남구 자유평화로 59번길 6 리버빌 3층</t>
    <phoneticPr fontId="16" type="noConversion"/>
  </si>
  <si>
    <t>T) 051-631-4608 ~ 9 F) 051-631-4610</t>
    <phoneticPr fontId="16" type="noConversion"/>
  </si>
  <si>
    <t>08' 5/21</t>
    <phoneticPr fontId="16" type="noConversion"/>
  </si>
  <si>
    <t>84A/34</t>
    <phoneticPr fontId="16" type="noConversion"/>
  </si>
  <si>
    <t>84A/34</t>
    <phoneticPr fontId="16" type="noConversion"/>
  </si>
  <si>
    <t>84B/34</t>
    <phoneticPr fontId="16" type="noConversion"/>
  </si>
  <si>
    <t>84B/34</t>
    <phoneticPr fontId="16" type="noConversion"/>
  </si>
  <si>
    <t>84C/34</t>
    <phoneticPr fontId="16" type="noConversion"/>
  </si>
  <si>
    <t>84C/34</t>
    <phoneticPr fontId="16" type="noConversion"/>
  </si>
  <si>
    <t>84D/34</t>
    <phoneticPr fontId="16" type="noConversion"/>
  </si>
  <si>
    <t>84E/34</t>
    <phoneticPr fontId="16" type="noConversion"/>
  </si>
  <si>
    <t>84F/34</t>
    <phoneticPr fontId="16" type="noConversion"/>
  </si>
  <si>
    <t>84F/34</t>
    <phoneticPr fontId="16" type="noConversion"/>
  </si>
  <si>
    <t>93A</t>
    <phoneticPr fontId="16" type="noConversion"/>
  </si>
  <si>
    <t>93A</t>
    <phoneticPr fontId="16" type="noConversion"/>
  </si>
  <si>
    <t>93B</t>
    <phoneticPr fontId="16" type="noConversion"/>
  </si>
  <si>
    <t>109.8A</t>
    <phoneticPr fontId="16" type="noConversion"/>
  </si>
  <si>
    <t>109.8B</t>
    <phoneticPr fontId="16" type="noConversion"/>
  </si>
  <si>
    <t>109.8C</t>
    <phoneticPr fontId="16" type="noConversion"/>
  </si>
  <si>
    <t>132.2A</t>
    <phoneticPr fontId="16" type="noConversion"/>
  </si>
  <si>
    <t>132.2B</t>
    <phoneticPr fontId="16" type="noConversion"/>
  </si>
  <si>
    <t>158.7</t>
    <phoneticPr fontId="16" type="noConversion"/>
  </si>
  <si>
    <t>184.7</t>
    <phoneticPr fontId="16" type="noConversion"/>
  </si>
  <si>
    <t>분양권 총 프리미엄 (31평기준)</t>
    <phoneticPr fontId="16" type="noConversion"/>
  </si>
  <si>
    <t>엄궁3구역</t>
    <phoneticPr fontId="16" type="noConversion"/>
  </si>
  <si>
    <t>포스코더샵</t>
    <phoneticPr fontId="16" type="noConversion"/>
  </si>
  <si>
    <t>부산 사상구 엄궁동 132번지 일원</t>
    <phoneticPr fontId="16" type="noConversion"/>
  </si>
  <si>
    <t>포스코건설</t>
    <phoneticPr fontId="16" type="noConversion"/>
  </si>
  <si>
    <t>2019.05.31</t>
    <phoneticPr fontId="16" type="noConversion"/>
  </si>
  <si>
    <t>2021년</t>
    <phoneticPr fontId="16" type="noConversion"/>
  </si>
  <si>
    <t>72/30</t>
    <phoneticPr fontId="16" type="noConversion"/>
  </si>
  <si>
    <t>(임대 66세대 별도)</t>
    <phoneticPr fontId="16" type="noConversion"/>
  </si>
  <si>
    <t>(현재 예상)
총
프
리
미
엄
(비례율 100%기준)</t>
    <phoneticPr fontId="16" type="noConversion"/>
  </si>
  <si>
    <t>지하2층 / 지상25~29층</t>
    <phoneticPr fontId="16" type="noConversion"/>
  </si>
  <si>
    <t>2006.12.20</t>
    <phoneticPr fontId="16" type="noConversion"/>
  </si>
  <si>
    <t>2007.01.19</t>
    <phoneticPr fontId="16" type="noConversion"/>
  </si>
  <si>
    <t>2008.08.05</t>
    <phoneticPr fontId="16" type="noConversion"/>
  </si>
  <si>
    <t>2019년예정</t>
    <phoneticPr fontId="16" type="noConversion"/>
  </si>
  <si>
    <t>2020년 예정</t>
    <phoneticPr fontId="16" type="noConversion"/>
  </si>
  <si>
    <t>2022년(완공시)</t>
    <phoneticPr fontId="39" type="noConversion"/>
  </si>
  <si>
    <t>19년04월~19년06월</t>
    <phoneticPr fontId="16" type="noConversion"/>
  </si>
  <si>
    <t>19년07월~19년09월</t>
    <phoneticPr fontId="16" type="noConversion"/>
  </si>
  <si>
    <t>19년10월~19년12월</t>
    <phoneticPr fontId="16" type="noConversion"/>
  </si>
  <si>
    <t xml:space="preserve">시
세
T
R
E
N
D
</t>
    <phoneticPr fontId="16" type="noConversion"/>
  </si>
  <si>
    <t>기간</t>
    <phoneticPr fontId="16" type="noConversion"/>
  </si>
  <si>
    <t>Graph</t>
    <phoneticPr fontId="16" type="noConversion"/>
  </si>
  <si>
    <t>20년01월~20년03월</t>
    <phoneticPr fontId="16" type="noConversion"/>
  </si>
  <si>
    <t>20년04월~20년06월</t>
    <phoneticPr fontId="16" type="noConversion"/>
  </si>
  <si>
    <t>20년07월~20년09월</t>
    <phoneticPr fontId="16" type="noConversion"/>
  </si>
  <si>
    <t>20년10월~20년12월</t>
    <phoneticPr fontId="16" type="noConversion"/>
  </si>
  <si>
    <t>21년01월~21년03월</t>
    <phoneticPr fontId="16" type="noConversion"/>
  </si>
  <si>
    <t>21년04월~21년06월</t>
    <phoneticPr fontId="16" type="noConversion"/>
  </si>
  <si>
    <t>21년07월~21년09월</t>
    <phoneticPr fontId="16" type="noConversion"/>
  </si>
  <si>
    <t>21년10월~21년12월</t>
    <phoneticPr fontId="16" type="noConversion"/>
  </si>
  <si>
    <t>2022년</t>
    <phoneticPr fontId="16" type="noConversion"/>
  </si>
  <si>
    <t>2023년</t>
    <phoneticPr fontId="16" type="noConversion"/>
  </si>
  <si>
    <t>2024년</t>
    <phoneticPr fontId="16" type="noConversion"/>
  </si>
  <si>
    <t>2018년</t>
    <phoneticPr fontId="16" type="noConversion"/>
  </si>
  <si>
    <t>2019년</t>
    <phoneticPr fontId="16" type="noConversion"/>
  </si>
  <si>
    <t>2026년(완공시)</t>
    <phoneticPr fontId="39" type="noConversion"/>
  </si>
  <si>
    <t>2018년</t>
    <phoneticPr fontId="16" type="noConversion"/>
  </si>
  <si>
    <t>2025년</t>
    <phoneticPr fontId="16" type="noConversion"/>
  </si>
  <si>
    <r>
      <rPr>
        <b/>
        <sz val="9"/>
        <rFont val="맑은 고딕"/>
        <family val="3"/>
        <charset val="129"/>
      </rPr>
      <t xml:space="preserve"> (예상)매매프리미엄</t>
    </r>
    <r>
      <rPr>
        <b/>
        <sz val="10"/>
        <rFont val="맑은 고딕"/>
        <family val="3"/>
        <charset val="129"/>
      </rPr>
      <t xml:space="preserve">
</t>
    </r>
    <r>
      <rPr>
        <b/>
        <sz val="6"/>
        <rFont val="맑은 고딕"/>
        <family val="3"/>
        <charset val="129"/>
      </rPr>
      <t>(대지 : 공시지가x150%)
(건물 : 연면적평x150만원)</t>
    </r>
    <phoneticPr fontId="16" type="noConversion"/>
  </si>
  <si>
    <t>2030년</t>
    <phoneticPr fontId="16" type="noConversion"/>
  </si>
  <si>
    <t>2019년 8월 5일~
10월 31일</t>
    <phoneticPr fontId="16" type="noConversion"/>
  </si>
  <si>
    <t>2024년 예정</t>
    <phoneticPr fontId="16" type="noConversion"/>
  </si>
  <si>
    <t>2021년 예정</t>
    <phoneticPr fontId="16" type="noConversion"/>
  </si>
  <si>
    <t>2020년 예정</t>
    <phoneticPr fontId="16" type="noConversion"/>
  </si>
  <si>
    <t>엄궁롯데캐슬리버,1852세대
(2010년 5월 준공) 평당가 대비</t>
    <phoneticPr fontId="16" type="noConversion"/>
  </si>
  <si>
    <t>조합원세대당 대지 평수
(평균분양평형)</t>
    <phoneticPr fontId="16" type="noConversion"/>
  </si>
  <si>
    <t>-</t>
    <phoneticPr fontId="16" type="noConversion"/>
  </si>
  <si>
    <t>구역면적 ㎡</t>
    <phoneticPr fontId="16" type="noConversion"/>
  </si>
  <si>
    <t>기부체납면적 ㎡</t>
    <phoneticPr fontId="16" type="noConversion"/>
  </si>
  <si>
    <t>실사용 면적 ㎡</t>
    <phoneticPr fontId="16" type="noConversion"/>
  </si>
  <si>
    <t>세대당
평균 종전자산 평가액</t>
    <phoneticPr fontId="16" type="noConversion"/>
  </si>
  <si>
    <t>총 종전사산 평가액</t>
    <phoneticPr fontId="16" type="noConversion"/>
  </si>
  <si>
    <t>건축가능 연면적 ㎡</t>
    <phoneticPr fontId="16" type="noConversion"/>
  </si>
  <si>
    <t>총 건축가능세대 수</t>
    <phoneticPr fontId="16" type="noConversion"/>
  </si>
  <si>
    <t>계약면적 (평)</t>
    <phoneticPr fontId="16" type="noConversion"/>
  </si>
  <si>
    <t>기타사업비</t>
    <phoneticPr fontId="16" type="noConversion"/>
  </si>
  <si>
    <t>총 사업비</t>
    <phoneticPr fontId="16" type="noConversion"/>
  </si>
  <si>
    <t>(예상)평균조합원분양가</t>
    <phoneticPr fontId="16" type="noConversion"/>
  </si>
  <si>
    <t>(예상) 평균일반분양가</t>
    <phoneticPr fontId="16" type="noConversion"/>
  </si>
  <si>
    <t>총 분양수입</t>
    <phoneticPr fontId="16" type="noConversion"/>
  </si>
  <si>
    <t>순이익</t>
    <phoneticPr fontId="16" type="noConversion"/>
  </si>
  <si>
    <t>조합원 세대당
평균 순이익</t>
    <phoneticPr fontId="16" type="noConversion"/>
  </si>
  <si>
    <t>조합 비례율</t>
    <phoneticPr fontId="16" type="noConversion"/>
  </si>
  <si>
    <t>비례율
(사업성 검토용)</t>
    <phoneticPr fontId="16" type="noConversion"/>
  </si>
  <si>
    <t>총 공사비</t>
    <phoneticPr fontId="16" type="noConversion"/>
  </si>
  <si>
    <t>평당 공사비(건축비)</t>
    <phoneticPr fontId="16" type="noConversion"/>
  </si>
  <si>
    <t>총 시공 평수</t>
    <phoneticPr fontId="16" type="noConversion"/>
  </si>
  <si>
    <t>센트럴푸르지오아이파크</t>
    <phoneticPr fontId="16" type="noConversion"/>
  </si>
  <si>
    <t>%</t>
    <phoneticPr fontId="16" type="noConversion"/>
  </si>
  <si>
    <t>효성해링턴</t>
    <phoneticPr fontId="16" type="noConversion"/>
  </si>
  <si>
    <t>-</t>
    <phoneticPr fontId="16" type="noConversion"/>
  </si>
  <si>
    <t>특징</t>
    <phoneticPr fontId="16" type="noConversion"/>
  </si>
  <si>
    <r>
      <rPr>
        <sz val="10"/>
        <color rgb="FF000000"/>
        <rFont val="바탕"/>
        <family val="1"/>
        <charset val="129"/>
      </rPr>
      <t>♦</t>
    </r>
    <r>
      <rPr>
        <sz val="11"/>
        <color rgb="FF000000"/>
        <rFont val="맑은 고딕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</rPr>
      <t>부산의 중심 서면 및 부산역 접근이 차량 10분 이내</t>
    </r>
    <phoneticPr fontId="16" type="noConversion"/>
  </si>
  <si>
    <t>♦ 북항 및 부산항대교 조망권</t>
    <phoneticPr fontId="16" type="noConversion"/>
  </si>
  <si>
    <t>♦ 북항재재발 수혜지역</t>
    <phoneticPr fontId="16" type="noConversion"/>
  </si>
  <si>
    <t>♦ 우암부두 해양클러스터 지정 재개발</t>
    <phoneticPr fontId="16" type="noConversion"/>
  </si>
  <si>
    <t>♦ 우암.감만선 트램 신설</t>
    <phoneticPr fontId="16" type="noConversion"/>
  </si>
  <si>
    <t>♦ 대단지 평지아파트</t>
    <phoneticPr fontId="16" type="noConversion"/>
  </si>
  <si>
    <t>♦ 저렴한 조합원분양가 (약 800여만원의 조합원분양가에 현재의 프리미엄을 더하여도 평당 900여만원 대)</t>
    <phoneticPr fontId="16" type="noConversion"/>
  </si>
  <si>
    <t>♦ 성천초등학교 (초품아)</t>
    <phoneticPr fontId="16" type="noConversion"/>
  </si>
  <si>
    <t>2026년 예정</t>
    <phoneticPr fontId="16" type="noConversion"/>
  </si>
  <si>
    <t>평균 총구매 평당가(만원)</t>
    <phoneticPr fontId="16" type="noConversion"/>
  </si>
  <si>
    <t>2019.09.05</t>
    <phoneticPr fontId="16" type="noConversion"/>
  </si>
  <si>
    <t>시공사 선정</t>
    <phoneticPr fontId="16" type="noConversion"/>
  </si>
  <si>
    <t>2020년</t>
    <phoneticPr fontId="16" type="noConversion"/>
  </si>
  <si>
    <t>2023년</t>
    <phoneticPr fontId="16" type="noConversion"/>
  </si>
  <si>
    <t>2024년</t>
    <phoneticPr fontId="16" type="noConversion"/>
  </si>
  <si>
    <t>2025년</t>
    <phoneticPr fontId="16" type="noConversion"/>
  </si>
  <si>
    <t>2026년</t>
    <phoneticPr fontId="16" type="noConversion"/>
  </si>
  <si>
    <t>2021년</t>
    <phoneticPr fontId="16" type="noConversion"/>
  </si>
  <si>
    <r>
      <rPr>
        <sz val="9.6999999999999993"/>
        <color rgb="FF000000"/>
        <rFont val="바탕"/>
        <family val="1"/>
        <charset val="129"/>
      </rPr>
      <t>♦</t>
    </r>
    <r>
      <rPr>
        <sz val="9.6999999999999993"/>
        <color rgb="FF000000"/>
        <rFont val="맑은 고딕"/>
        <family val="3"/>
        <charset val="129"/>
      </rPr>
      <t xml:space="preserve"> 지하철 이용이 편리한 대로변으로는 59형을 배치, 조용한 우룡한 숲 쪽으론 84형을 배치, 조용하고 조망이 우수한 윗쪽 지대로는 99, 115형을 배치함</t>
    </r>
    <phoneticPr fontId="16" type="noConversion"/>
  </si>
  <si>
    <t>♦ 못골역을 끼고 있어 부산 대표적 지하철 1호선 역세권입니다.</t>
    <phoneticPr fontId="16" type="noConversion"/>
  </si>
  <si>
    <t xml:space="preserve">   광안대로를 통한 해운대구, 번영로를 통한 시외고속도로 이용까지 아주 편리한 교통환경을 갖추고 있습니다.</t>
    <phoneticPr fontId="16" type="noConversion"/>
  </si>
  <si>
    <t>♦ 인근으로 부산박물관, 부산문화회관, 유엔공원 등 다양한 문화시설들이 인근에 있습니다.</t>
    <phoneticPr fontId="16" type="noConversion"/>
  </si>
  <si>
    <t>♦ 단지 뒷편으로 우룡산을 끼고 있어서 등산 및 산책로로 좋은 숲세권아파트입니다.</t>
    <phoneticPr fontId="16" type="noConversion"/>
  </si>
  <si>
    <t xml:space="preserve">♦ 남구, 수영구의 주요 대로인 수영로을 앞에 두고 있어 대중교통 및 자가용으로도 서면, 중구로의 이동이 수월하고, </t>
    <phoneticPr fontId="16" type="noConversion"/>
  </si>
  <si>
    <t>♦ 도보 3분거리에 남구청, 못골시장, 많은 병.의원뿐만 아니라 부산 최대상권 중 하나인 경성대 인근으로 많은 식당 및 편의시설을 등</t>
    <phoneticPr fontId="16" type="noConversion"/>
  </si>
  <si>
    <t xml:space="preserve">   실거주에 편리한 주거환경을 갖추고 있습니다.</t>
    <phoneticPr fontId="16" type="noConversion"/>
  </si>
  <si>
    <t>♦ 대연초, 대연중, 대연고 등 우수한 대연동 명문학군을 갖추고 있습니다.</t>
    <phoneticPr fontId="16" type="noConversion"/>
  </si>
  <si>
    <t>롯데+현대산업개발</t>
    <phoneticPr fontId="16" type="noConversion"/>
  </si>
  <si>
    <t>가칭 캐슬아아파크</t>
    <phoneticPr fontId="16" type="noConversion"/>
  </si>
  <si>
    <t>2019년 8월 1일 시작</t>
    <phoneticPr fontId="16" type="noConversion"/>
  </si>
  <si>
    <t>광안2구역</t>
    <phoneticPr fontId="16" type="noConversion"/>
  </si>
  <si>
    <t>광안SK뷰</t>
    <phoneticPr fontId="16" type="noConversion"/>
  </si>
  <si>
    <t>광안2주택재개발</t>
    <phoneticPr fontId="16" type="noConversion"/>
  </si>
  <si>
    <t>부산 수영구 광안동 1240-38</t>
    <phoneticPr fontId="16" type="noConversion"/>
  </si>
  <si>
    <t>SK건설</t>
    <phoneticPr fontId="16" type="noConversion"/>
  </si>
  <si>
    <t>2021년 예정</t>
    <phoneticPr fontId="16" type="noConversion"/>
  </si>
  <si>
    <t>2025년 예정</t>
    <phoneticPr fontId="16" type="noConversion"/>
  </si>
  <si>
    <r>
      <t>78A</t>
    </r>
    <r>
      <rPr>
        <b/>
        <sz val="10"/>
        <color rgb="FF000000"/>
        <rFont val="굴림"/>
        <family val="3"/>
        <charset val="129"/>
      </rPr>
      <t>㎡</t>
    </r>
    <phoneticPr fontId="16" type="noConversion"/>
  </si>
  <si>
    <r>
      <t>78B</t>
    </r>
    <r>
      <rPr>
        <b/>
        <sz val="10"/>
        <color rgb="FF000000"/>
        <rFont val="굴림"/>
        <family val="3"/>
        <charset val="129"/>
      </rPr>
      <t>㎡</t>
    </r>
    <phoneticPr fontId="16" type="noConversion"/>
  </si>
  <si>
    <t>100㎡</t>
    <phoneticPr fontId="16" type="noConversion"/>
  </si>
  <si>
    <t>조합원</t>
    <phoneticPr fontId="16" type="noConversion"/>
  </si>
  <si>
    <t>일반</t>
    <phoneticPr fontId="16" type="noConversion"/>
  </si>
  <si>
    <t>보류지</t>
    <phoneticPr fontId="16" type="noConversion"/>
  </si>
  <si>
    <t>78A㎡</t>
    <phoneticPr fontId="16" type="noConversion"/>
  </si>
  <si>
    <t>78B㎡</t>
    <phoneticPr fontId="16" type="noConversion"/>
  </si>
  <si>
    <t>100B㎡</t>
    <phoneticPr fontId="16" type="noConversion"/>
  </si>
  <si>
    <t>-</t>
    <phoneticPr fontId="16" type="noConversion"/>
  </si>
  <si>
    <r>
      <rPr>
        <sz val="9.6999999999999993"/>
        <color rgb="FF000000"/>
        <rFont val="바탕"/>
        <family val="1"/>
        <charset val="129"/>
      </rPr>
      <t>♦</t>
    </r>
    <r>
      <rPr>
        <sz val="9.6999999999999993"/>
        <color rgb="FF000000"/>
        <rFont val="맑은 고딕"/>
        <family val="3"/>
        <charset val="129"/>
      </rPr>
      <t xml:space="preserve"> 광안자이와 광안에일린의뜰 사이에 위치하고 있고 이중 가장 큰 단지입니다.</t>
    </r>
    <phoneticPr fontId="16" type="noConversion"/>
  </si>
  <si>
    <t>♦ 101동~104동까지는 단지의 앞쪽에 위치하여 고층의 경우는 조망과 지하철 접근이 용이하다는 장점이 있습니다.</t>
    <phoneticPr fontId="16" type="noConversion"/>
  </si>
  <si>
    <t>♦ 광안역 도보 5분 거리 역세권.</t>
    <phoneticPr fontId="16" type="noConversion"/>
  </si>
  <si>
    <t>♦ 호암초, 동아중, 수영중학교가 바로 인근에 있습니다.</t>
    <phoneticPr fontId="16" type="noConversion"/>
  </si>
  <si>
    <t>♦ 다수의 병.의원 및 광안동의 우수한 주거여건을 갖추고 있습니다.</t>
    <phoneticPr fontId="16" type="noConversion"/>
  </si>
  <si>
    <t>♦ 광안리해수욕장 도보 이용 가능합니다.</t>
    <phoneticPr fontId="16" type="noConversion"/>
  </si>
  <si>
    <t>2011.06.08</t>
    <phoneticPr fontId="16" type="noConversion"/>
  </si>
  <si>
    <t>2013.03.14</t>
    <phoneticPr fontId="16" type="noConversion"/>
  </si>
  <si>
    <t>2017.10.20</t>
    <phoneticPr fontId="16" type="noConversion"/>
  </si>
  <si>
    <t>2019.04.05</t>
    <phoneticPr fontId="16" type="noConversion"/>
  </si>
  <si>
    <t>2019년 08월 08일</t>
    <phoneticPr fontId="16" type="noConversion"/>
  </si>
  <si>
    <t>♦ 인근 재개발 모두 2,500여 세대의 대단지가 형성되면서 수영구 그리고 광안동의 새로운 대단지 아파트 주거타운이 형성될 예정입니다.</t>
    <phoneticPr fontId="16" type="noConversion"/>
  </si>
  <si>
    <t xml:space="preserve">   105동 ~ 110동까지는 단지의 뒷편에 위치하여 황령산, 학교가 가깝고 초고층의 경우 바다 조망도 기대할 수 있습니다.</t>
    <phoneticPr fontId="16" type="noConversion"/>
  </si>
  <si>
    <t>♦ 인근의 호암공원, 금련산, 황령산 등산로을 이용할 수 있는 숲세권.</t>
    <phoneticPr fontId="16" type="noConversion"/>
  </si>
  <si>
    <t>지하2층/지상31층</t>
    <phoneticPr fontId="16" type="noConversion"/>
  </si>
  <si>
    <t>-</t>
    <phoneticPr fontId="16" type="noConversion"/>
  </si>
  <si>
    <t>-</t>
    <phoneticPr fontId="16" type="noConversion"/>
  </si>
  <si>
    <t>-</t>
    <phoneticPr fontId="16" type="noConversion"/>
  </si>
  <si>
    <t>문현3구역</t>
    <phoneticPr fontId="16" type="noConversion"/>
  </si>
  <si>
    <t>힐스테이트위브</t>
    <phoneticPr fontId="16" type="noConversion"/>
  </si>
  <si>
    <t>문현3주택재개발</t>
    <phoneticPr fontId="16" type="noConversion"/>
  </si>
  <si>
    <t>부산시 남구 문현동 557번지 일원</t>
    <phoneticPr fontId="16" type="noConversion"/>
  </si>
  <si>
    <t>현대엔지니어링+두산건설</t>
    <phoneticPr fontId="16" type="noConversion"/>
  </si>
  <si>
    <t>미정</t>
    <phoneticPr fontId="16" type="noConversion"/>
  </si>
  <si>
    <t>지하5층, 지상27층</t>
    <phoneticPr fontId="16" type="noConversion"/>
  </si>
  <si>
    <t>2006.01.11</t>
    <phoneticPr fontId="16" type="noConversion"/>
  </si>
  <si>
    <t>2015.12.23</t>
    <phoneticPr fontId="16" type="noConversion"/>
  </si>
  <si>
    <t>2019년 하반기</t>
    <phoneticPr fontId="16" type="noConversion"/>
  </si>
  <si>
    <t>2021년 하반기</t>
    <phoneticPr fontId="16" type="noConversion"/>
  </si>
  <si>
    <t>2022년 예정</t>
    <phoneticPr fontId="16" type="noConversion"/>
  </si>
  <si>
    <t>2023년 예정</t>
    <phoneticPr fontId="16" type="noConversion"/>
  </si>
  <si>
    <t>2024년 예정</t>
    <phoneticPr fontId="16" type="noConversion"/>
  </si>
  <si>
    <t>2028년 예정</t>
    <phoneticPr fontId="16" type="noConversion"/>
  </si>
  <si>
    <r>
      <t>44A</t>
    </r>
    <r>
      <rPr>
        <b/>
        <sz val="10"/>
        <color rgb="FF000000"/>
        <rFont val="굴림"/>
        <family val="3"/>
        <charset val="129"/>
      </rPr>
      <t>㎡</t>
    </r>
    <phoneticPr fontId="16" type="noConversion"/>
  </si>
  <si>
    <r>
      <t>59A</t>
    </r>
    <r>
      <rPr>
        <b/>
        <sz val="10"/>
        <color rgb="FF000000"/>
        <rFont val="굴림"/>
        <family val="3"/>
        <charset val="129"/>
      </rPr>
      <t>㎡</t>
    </r>
    <phoneticPr fontId="16" type="noConversion"/>
  </si>
  <si>
    <r>
      <t>59B</t>
    </r>
    <r>
      <rPr>
        <b/>
        <sz val="10"/>
        <color rgb="FF000000"/>
        <rFont val="굴림"/>
        <family val="3"/>
        <charset val="129"/>
      </rPr>
      <t>㎡</t>
    </r>
    <phoneticPr fontId="16" type="noConversion"/>
  </si>
  <si>
    <r>
      <t>74A</t>
    </r>
    <r>
      <rPr>
        <b/>
        <sz val="10"/>
        <color rgb="FF000000"/>
        <rFont val="굴림"/>
        <family val="3"/>
        <charset val="129"/>
      </rPr>
      <t>㎡</t>
    </r>
    <phoneticPr fontId="16" type="noConversion"/>
  </si>
  <si>
    <r>
      <t>74B</t>
    </r>
    <r>
      <rPr>
        <b/>
        <sz val="10"/>
        <color rgb="FF000000"/>
        <rFont val="굴림"/>
        <family val="3"/>
        <charset val="129"/>
      </rPr>
      <t>㎡</t>
    </r>
    <phoneticPr fontId="16" type="noConversion"/>
  </si>
  <si>
    <r>
      <t>84A</t>
    </r>
    <r>
      <rPr>
        <b/>
        <sz val="10"/>
        <color rgb="FF000000"/>
        <rFont val="굴림"/>
        <family val="3"/>
        <charset val="129"/>
      </rPr>
      <t>㎡</t>
    </r>
    <phoneticPr fontId="16" type="noConversion"/>
  </si>
  <si>
    <r>
      <t>84B</t>
    </r>
    <r>
      <rPr>
        <b/>
        <sz val="10"/>
        <color rgb="FF000000"/>
        <rFont val="굴림"/>
        <family val="3"/>
        <charset val="129"/>
      </rPr>
      <t>㎡</t>
    </r>
    <phoneticPr fontId="16" type="noConversion"/>
  </si>
  <si>
    <r>
      <t>44B</t>
    </r>
    <r>
      <rPr>
        <b/>
        <sz val="10"/>
        <color rgb="FF000000"/>
        <rFont val="굴림"/>
        <family val="3"/>
        <charset val="129"/>
      </rPr>
      <t>㎡</t>
    </r>
    <phoneticPr fontId="16" type="noConversion"/>
  </si>
  <si>
    <r>
      <rPr>
        <sz val="9.6999999999999993"/>
        <color rgb="FF000000"/>
        <rFont val="바탕"/>
        <family val="1"/>
        <charset val="129"/>
      </rPr>
      <t>♦</t>
    </r>
    <r>
      <rPr>
        <sz val="9.6999999999999993"/>
        <color rgb="FF000000"/>
        <rFont val="맑은 고딕"/>
        <family val="3"/>
        <charset val="129"/>
      </rPr>
      <t xml:space="preserve"> 부산지하철 2호선 부산국제금융센터역과 문현역 2개를 곁에 둔 더블 역세권</t>
    </r>
    <phoneticPr fontId="16" type="noConversion"/>
  </si>
  <si>
    <t>♦ 부산국제금융센터역과 연결되는 신규도로 개설로 도보 5분 거리로 지하철 이용 가능</t>
    <phoneticPr fontId="16" type="noConversion"/>
  </si>
  <si>
    <t>♦ 성동초등학교, 문현초등학교를 끼고 있는 더블 초품아아파트.</t>
    <phoneticPr fontId="16" type="noConversion"/>
  </si>
  <si>
    <t>♦ 행정적 위치는 남구이지만 지리적 위치는 진구에 가까이 있어서 서면 상권이용이 편리하고 부산진구, 부산역 방면으로 접근이 용이합니다.</t>
    <phoneticPr fontId="16" type="noConversion"/>
  </si>
  <si>
    <t>2023년 예정</t>
    <phoneticPr fontId="16" type="noConversion"/>
  </si>
  <si>
    <t>2027년 예정</t>
    <phoneticPr fontId="16" type="noConversion"/>
  </si>
  <si>
    <t>2020년 예정</t>
    <phoneticPr fontId="16" type="noConversion"/>
  </si>
  <si>
    <t>2022년 예정</t>
    <phoneticPr fontId="16" type="noConversion"/>
  </si>
  <si>
    <t>2023년 예정</t>
    <phoneticPr fontId="16" type="noConversion"/>
  </si>
  <si>
    <t>2024년 예정</t>
    <phoneticPr fontId="16" type="noConversion"/>
  </si>
  <si>
    <t>2028년 예정</t>
    <phoneticPr fontId="16" type="noConversion"/>
  </si>
  <si>
    <t>이주.철거</t>
    <phoneticPr fontId="16" type="noConversion"/>
  </si>
  <si>
    <t>♦ 부산지하철 4호선 낙민역, 충렬사역, 수안역을 끼고 있는 트리플역세권입니다.</t>
    <phoneticPr fontId="16" type="noConversion"/>
  </si>
  <si>
    <t xml:space="preserve">   인근의 원동IC를 이용하여 차량 3~5분대로 경부고속도로 이용이 편리하고 차량 10분대로 해운대 센텀으로 이동이 수월함. </t>
    <phoneticPr fontId="16" type="noConversion"/>
  </si>
  <si>
    <t>♦ 1~1.5km 내 롯데백화점 동래와 동래 온천, 동래 메가마트가 근거리에 위치하고 있어 편리한 생활 환경을 갖추고 있습니다.</t>
    <phoneticPr fontId="16" type="noConversion"/>
  </si>
  <si>
    <t>♦ 역사적으로 명당 자리로 불리던 곳으로서 문화재를 품고 그에 어울리는 외관으로 기대가 높은 품격이 남다른 아파트.</t>
    <phoneticPr fontId="16" type="noConversion"/>
  </si>
  <si>
    <t xml:space="preserve">   지하철 1호선 동래역과는 도보 10~15분으로 이용 가능하고, 수안역에서 1거장 거리로 환승 이용이 가능합니다.</t>
    <phoneticPr fontId="16" type="noConversion"/>
  </si>
  <si>
    <t xml:space="preserve">♦ 부산의 중심인 동래구의 입지적 장점으로 단지 앞 충렬대로를 따라 만덕터널과 남해고속도로 이용이 편리하고, </t>
    <phoneticPr fontId="16" type="noConversion"/>
  </si>
  <si>
    <t xml:space="preserve">   명륜로를 따라 법원, 시청, 연산동으로 이동하여 서면으로 빠른 접근이 가능한 사통팔달 교통의 요지입니다.</t>
    <phoneticPr fontId="16" type="noConversion"/>
  </si>
  <si>
    <t xml:space="preserve">♦ 내성초를 구역 내 품고 있는 초품아이고, 명장초, 동신중, 학산여고, 동래고등학교 등 동래구의 전통적 학군 보유하고 있음. </t>
    <phoneticPr fontId="16" type="noConversion"/>
  </si>
  <si>
    <r>
      <rPr>
        <sz val="9.6999999999999993"/>
        <color rgb="FF000000"/>
        <rFont val="바탕"/>
        <family val="1"/>
        <charset val="129"/>
      </rPr>
      <t>♦</t>
    </r>
    <r>
      <rPr>
        <sz val="9.6999999999999993"/>
        <color rgb="FF000000"/>
        <rFont val="맑은 고딕"/>
        <family val="3"/>
        <charset val="129"/>
      </rPr>
      <t xml:space="preserve"> 4,900여세대의 메머드급 대단지로서 1군 GS건설의 최고급 브랜드인 '그랑자이' 아파트입니다.</t>
    </r>
    <phoneticPr fontId="16" type="noConversion"/>
  </si>
  <si>
    <t>♦ 신연초등학교, 우암초등학교 (초품아)</t>
    <phoneticPr fontId="16" type="noConversion"/>
  </si>
  <si>
    <t>♦ 저렴한 조합원분양가 (약 820여만원의 조합원분양가에 현재의 프리미엄을 더하여도 평당 900여만원 대)</t>
    <phoneticPr fontId="16" type="noConversion"/>
  </si>
  <si>
    <t xml:space="preserve">♦ 뉴스테이 연계형 재개발사업으로서 미분양 없음. </t>
    <phoneticPr fontId="16" type="noConversion"/>
  </si>
  <si>
    <t xml:space="preserve">   (단, 일반분양이 없으므로 인근시세 대비 조합원분양가 차액 외 추가 수익을 기대하기 어려움.)</t>
    <phoneticPr fontId="16" type="noConversion"/>
  </si>
  <si>
    <t>♦ 전체 3,018세대 중 조합원 약 785세대만 매매 가능하므로 시세 형성이 빠름.</t>
    <phoneticPr fontId="16" type="noConversion"/>
  </si>
  <si>
    <t>♦ 이미 관리처분계획이 끝나고 착공이 시작되었음에도 총 구매 평당가가 900여만으로 인근시세 대비 잉여프리미엄이 아주 높음.</t>
    <phoneticPr fontId="16" type="noConversion"/>
  </si>
  <si>
    <t>2021년 예정</t>
    <phoneticPr fontId="16" type="noConversion"/>
  </si>
  <si>
    <t>2022년 예정</t>
    <phoneticPr fontId="16" type="noConversion"/>
  </si>
  <si>
    <t>2023년 예정</t>
    <phoneticPr fontId="16" type="noConversion"/>
  </si>
  <si>
    <t>일반분양</t>
    <phoneticPr fontId="16" type="noConversion"/>
  </si>
  <si>
    <t>2024년 예정</t>
    <phoneticPr fontId="16" type="noConversion"/>
  </si>
  <si>
    <t>준공</t>
    <phoneticPr fontId="16" type="noConversion"/>
  </si>
  <si>
    <t>2027년 예정</t>
    <phoneticPr fontId="16" type="noConversion"/>
  </si>
  <si>
    <r>
      <rPr>
        <sz val="10"/>
        <color rgb="FF000000"/>
        <rFont val="바탕"/>
        <family val="1"/>
        <charset val="129"/>
      </rPr>
      <t>♦</t>
    </r>
    <r>
      <rPr>
        <sz val="11"/>
        <color rgb="FF000000"/>
        <rFont val="맑은 고딕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</rPr>
      <t xml:space="preserve">괴정5구역 인근으로 대단위 재개발,재건축 진행으로 신주거타운 형성. </t>
    </r>
    <phoneticPr fontId="16" type="noConversion"/>
  </si>
  <si>
    <t xml:space="preserve">   (힐스테이트사하역, 당리2구역 재개발, 당리2 재건축, 괴정2 재건축, 괴정3 재건축)</t>
    <phoneticPr fontId="16" type="noConversion"/>
  </si>
  <si>
    <t>♦ 도시철도1호선 사하역 역세권.</t>
    <phoneticPr fontId="16" type="noConversion"/>
  </si>
  <si>
    <t>♦ 낙동대로의 편리한 교통, 제2대티터널과 사상~하단선(예정), 하단~녹산선(예정)으로 접근성이 용이합니다.</t>
    <phoneticPr fontId="16" type="noConversion"/>
  </si>
  <si>
    <t>♦ 사남초, 사하중 등 도보통학이 가능한 학군과 동아고, 해동고 가 1km 안팎에 위치하고 있습니다.</t>
    <phoneticPr fontId="16" type="noConversion"/>
  </si>
  <si>
    <t>♦ 뉴코아아울렛, 대형마트 등 완성된 생활인프라와 동매산, 승학산을 뒤로 하고 있어서 숲세권 생활이 가능합니다.</t>
    <phoneticPr fontId="16" type="noConversion"/>
  </si>
  <si>
    <r>
      <t xml:space="preserve">109.25% -&gt; </t>
    </r>
    <r>
      <rPr>
        <sz val="10"/>
        <color rgb="FFFF0000"/>
        <rFont val="맑은 고딕"/>
        <family val="3"/>
        <charset val="129"/>
      </rPr>
      <t>115%</t>
    </r>
    <phoneticPr fontId="16" type="noConversion"/>
  </si>
  <si>
    <t>효성건설+진흥건설</t>
    <phoneticPr fontId="16" type="noConversion"/>
  </si>
  <si>
    <t>범천4구역</t>
    <phoneticPr fontId="16" type="noConversion"/>
  </si>
  <si>
    <t>범천동 1269-15번지 일원</t>
    <phoneticPr fontId="16" type="noConversion"/>
  </si>
  <si>
    <t>2007.04.11</t>
    <phoneticPr fontId="16" type="noConversion"/>
  </si>
  <si>
    <t>2007.07.24</t>
    <phoneticPr fontId="16" type="noConversion"/>
  </si>
  <si>
    <t>시공사선정</t>
    <phoneticPr fontId="16" type="noConversion"/>
  </si>
  <si>
    <t>2016.07.09</t>
    <phoneticPr fontId="16" type="noConversion"/>
  </si>
  <si>
    <t>2024년 예정</t>
    <phoneticPr fontId="16" type="noConversion"/>
  </si>
  <si>
    <t>대림사업단
(대림산업+호반건설+한진중공업)</t>
    <phoneticPr fontId="16" type="noConversion"/>
  </si>
  <si>
    <t xml:space="preserve">  - 도심기능을 재편하는 목적으로 도시기능 활성화에 기틀을 마련</t>
    <phoneticPr fontId="16" type="noConversion"/>
  </si>
  <si>
    <t xml:space="preserve">  - 정부 예산을 투입하는 재정비 사업으로 진행하기로 함.</t>
    <phoneticPr fontId="16" type="noConversion"/>
  </si>
  <si>
    <t xml:space="preserve">  - 서면지역과 연계된 업무시설, 상업문화시설 유치</t>
    <phoneticPr fontId="16" type="noConversion"/>
  </si>
  <si>
    <t>계획 중인 부산 철도시설 재배치 계획</t>
    <phoneticPr fontId="16" type="noConversion"/>
  </si>
  <si>
    <t xml:space="preserve">   - 부산진 CY 부산신항역 이전 (2,024억 원)</t>
    <phoneticPr fontId="16" type="noConversion"/>
  </si>
  <si>
    <t xml:space="preserve">   - 부산역을 고속철도 전용역으로 하고, 정거장 및 시설 변경 (1,782억 원)</t>
    <phoneticPr fontId="16" type="noConversion"/>
  </si>
  <si>
    <t>2008.07.02
(2017.12.13 구역 변경)</t>
    <phoneticPr fontId="16" type="noConversion"/>
  </si>
  <si>
    <t>2006.07.04</t>
    <phoneticPr fontId="16" type="noConversion"/>
  </si>
  <si>
    <t>2020년 3월 예정</t>
    <phoneticPr fontId="16" type="noConversion"/>
  </si>
  <si>
    <t>2022년 예정</t>
    <phoneticPr fontId="16" type="noConversion"/>
  </si>
  <si>
    <t>2024년 예정</t>
    <phoneticPr fontId="16" type="noConversion"/>
  </si>
  <si>
    <t>2026년 예정</t>
    <phoneticPr fontId="16" type="noConversion"/>
  </si>
  <si>
    <t>2027년 예정</t>
    <phoneticPr fontId="16" type="noConversion"/>
  </si>
  <si>
    <t>2030년 예정</t>
    <phoneticPr fontId="16" type="noConversion"/>
  </si>
  <si>
    <t>미정 (현산,gs,대림산업, 롯데, 나, 포스코 등
국내 Top 10위권 내 건설사들은 다 들어와 있다 보시면 됩니다.</t>
    <phoneticPr fontId="16" type="noConversion"/>
  </si>
  <si>
    <t>129.75% (추진위 제공)</t>
    <phoneticPr fontId="16" type="noConversion"/>
  </si>
  <si>
    <t>현재의 시세 기준과, 추진위에서 제공한 탁상가감정가 기준이므로 이므로 실제 감정평가가 이루어지는 약 4년 이후의 감정가 대비해서는 여전히</t>
    <phoneticPr fontId="16" type="noConversion"/>
  </si>
  <si>
    <t xml:space="preserve">잉여프리미엄이 남아 있고, 특히 7~8년 이후에나 있을 미래의 일반분양가를 감안하면 잉여프리미엄 또한 상당히 높을 것으로 예상됩니다. </t>
    <phoneticPr fontId="16" type="noConversion"/>
  </si>
  <si>
    <t>하지만, 현재가 대비해서는 상당히 높은 시세를 형성하고 있으므로, 1~2년 단기 투자로는 조금은 고민이 필요한 상황입니다.</t>
    <phoneticPr fontId="16" type="noConversion"/>
  </si>
  <si>
    <t>시민공원재정비촉진3구역</t>
    <phoneticPr fontId="16" type="noConversion"/>
  </si>
  <si>
    <t>촉진3주택재개발</t>
    <phoneticPr fontId="16" type="noConversion"/>
  </si>
  <si>
    <t>초량3구역</t>
    <phoneticPr fontId="16" type="noConversion"/>
  </si>
  <si>
    <t>-</t>
    <phoneticPr fontId="16" type="noConversion"/>
  </si>
  <si>
    <t>초량3주택재개발</t>
    <phoneticPr fontId="16" type="noConversion"/>
  </si>
  <si>
    <t xml:space="preserve">임대주택 24세대 포함 </t>
    <phoneticPr fontId="16" type="noConversion"/>
  </si>
  <si>
    <t>지하3층/지상24층</t>
    <phoneticPr fontId="16" type="noConversion"/>
  </si>
  <si>
    <t>호반견설</t>
    <phoneticPr fontId="16" type="noConversion"/>
  </si>
  <si>
    <t>동구 초량동 659번지 일원</t>
    <phoneticPr fontId="16" type="noConversion"/>
  </si>
  <si>
    <t>2008.04.09</t>
    <phoneticPr fontId="16" type="noConversion"/>
  </si>
  <si>
    <t>2016.01.05</t>
    <phoneticPr fontId="16" type="noConversion"/>
  </si>
  <si>
    <t>2020년 예정 (건축심의 완)</t>
    <phoneticPr fontId="16" type="noConversion"/>
  </si>
  <si>
    <t>2021년 예정</t>
    <phoneticPr fontId="16" type="noConversion"/>
  </si>
  <si>
    <t>2022년 예정</t>
    <phoneticPr fontId="16" type="noConversion"/>
  </si>
  <si>
    <t>2023년 예정</t>
    <phoneticPr fontId="16" type="noConversion"/>
  </si>
  <si>
    <t>2024년 예정</t>
    <phoneticPr fontId="16" type="noConversion"/>
  </si>
  <si>
    <t>2028년 예정</t>
    <phoneticPr fontId="16" type="noConversion"/>
  </si>
  <si>
    <r>
      <t>39</t>
    </r>
    <r>
      <rPr>
        <b/>
        <sz val="10"/>
        <color rgb="FF000000"/>
        <rFont val="굴림"/>
        <family val="3"/>
        <charset val="129"/>
      </rPr>
      <t>㎡</t>
    </r>
    <r>
      <rPr>
        <b/>
        <sz val="10"/>
        <color rgb="FF000000"/>
        <rFont val="맑은 고딕"/>
        <family val="3"/>
        <charset val="129"/>
      </rPr>
      <t xml:space="preserve"> (임대)</t>
    </r>
    <phoneticPr fontId="16" type="noConversion"/>
  </si>
  <si>
    <r>
      <t>59B</t>
    </r>
    <r>
      <rPr>
        <b/>
        <sz val="10"/>
        <color rgb="FF000000"/>
        <rFont val="굴림"/>
        <family val="3"/>
        <charset val="129"/>
      </rPr>
      <t>㎡</t>
    </r>
    <phoneticPr fontId="16" type="noConversion"/>
  </si>
  <si>
    <r>
      <t>70A</t>
    </r>
    <r>
      <rPr>
        <b/>
        <sz val="10"/>
        <color rgb="FF000000"/>
        <rFont val="굴림"/>
        <family val="3"/>
        <charset val="129"/>
      </rPr>
      <t>㎡</t>
    </r>
    <r>
      <rPr>
        <b/>
        <sz val="10"/>
        <color rgb="FF000000"/>
        <rFont val="맑은 고딕"/>
        <family val="3"/>
        <charset val="129"/>
      </rPr>
      <t xml:space="preserve"> (28평)</t>
    </r>
    <phoneticPr fontId="16" type="noConversion"/>
  </si>
  <si>
    <r>
      <t>74A</t>
    </r>
    <r>
      <rPr>
        <b/>
        <sz val="10"/>
        <color rgb="FF000000"/>
        <rFont val="굴림"/>
        <family val="3"/>
        <charset val="129"/>
      </rPr>
      <t>㎡</t>
    </r>
    <r>
      <rPr>
        <b/>
        <sz val="10"/>
        <color rgb="FF000000"/>
        <rFont val="맑은 고딕"/>
        <family val="3"/>
        <charset val="129"/>
      </rPr>
      <t xml:space="preserve"> (29평)</t>
    </r>
    <phoneticPr fontId="16" type="noConversion"/>
  </si>
  <si>
    <t>2026년</t>
    <phoneticPr fontId="39" type="noConversion"/>
  </si>
  <si>
    <t>2027년</t>
    <phoneticPr fontId="39" type="noConversion"/>
  </si>
  <si>
    <t>2028년</t>
    <phoneticPr fontId="16" type="noConversion"/>
  </si>
  <si>
    <t>2029년(완공시)</t>
    <phoneticPr fontId="39" type="noConversion"/>
  </si>
  <si>
    <r>
      <rPr>
        <sz val="9.6999999999999993"/>
        <color rgb="FF000000"/>
        <rFont val="바탕"/>
        <family val="1"/>
        <charset val="129"/>
      </rPr>
      <t>♦</t>
    </r>
    <r>
      <rPr>
        <sz val="9.6999999999999993"/>
        <color rgb="FF000000"/>
        <rFont val="맑은 고딕"/>
        <family val="3"/>
        <charset val="129"/>
      </rPr>
      <t xml:space="preserve"> 북항재개발 배후 단지</t>
    </r>
    <phoneticPr fontId="16" type="noConversion"/>
  </si>
  <si>
    <t>♦ 70A형은 타워형이면서 정남향 배치, 외 타입은 모두 4BAY 남동향 및 남서향으로 배치됨.</t>
    <phoneticPr fontId="16" type="noConversion"/>
  </si>
  <si>
    <t>♦ 동일중앙초, 부산중, 경남여중, 부산고등학교가 바로 인근에 있습니다.</t>
    <phoneticPr fontId="16" type="noConversion"/>
  </si>
  <si>
    <t>♦ 일반상업지를 경계로 하고 있어서 편리한 근린생활 환경을 갖추고 있음.</t>
    <phoneticPr fontId="16" type="noConversion"/>
  </si>
  <si>
    <t>♦ 초량역 1호선 도보 5분 거리 역세권.</t>
    <phoneticPr fontId="16" type="noConversion"/>
  </si>
  <si>
    <t>♦ 인근 재개발 모두 3,920여 세대의 대단지가 형성되면서동구 초량동의 새로운 대단지 아파트 주거타운이 형성될 예정입니다.</t>
    <phoneticPr fontId="16" type="noConversion"/>
  </si>
  <si>
    <t>(예상)조합원평당분양가</t>
    <phoneticPr fontId="16" type="noConversion"/>
  </si>
  <si>
    <t>(예상)일반평당분양가</t>
    <phoneticPr fontId="16" type="noConversion"/>
  </si>
  <si>
    <t>♦ 59형 드레스룸 제공, 74A, 84A 알파룸 제공.</t>
    <phoneticPr fontId="16" type="noConversion"/>
  </si>
  <si>
    <t>♦ 도보 10분거리에 남구청, 못골시장, 많은 병.의원뿐만 아니라 부산 최대상권 중 하나인 경성대 인근으로 많은 식당 및 편의시설을 등</t>
    <phoneticPr fontId="16" type="noConversion"/>
  </si>
  <si>
    <t>♦ 대연3구역과 구역경계를 같이 하고 있어서 대연3구역과 시세 뒤따르기합니다.</t>
    <phoneticPr fontId="16" type="noConversion"/>
  </si>
  <si>
    <t>특징</t>
    <phoneticPr fontId="16" type="noConversion"/>
  </si>
  <si>
    <t xml:space="preserve">♦ 부산 남구 대연동의 마지막 남은 대단지 재개발 구역으로서 희소가치 있습니다. </t>
    <phoneticPr fontId="16" type="noConversion"/>
  </si>
  <si>
    <t>♦ 대연역 도보 10분 거리입니다.</t>
    <phoneticPr fontId="16" type="noConversion"/>
  </si>
  <si>
    <t>가감정가 대비 p(만원)</t>
    <phoneticPr fontId="16" type="noConversion"/>
  </si>
  <si>
    <t>19년07월~19년09월</t>
    <phoneticPr fontId="16" type="noConversion"/>
  </si>
  <si>
    <t>2024년 준공예정</t>
    <phoneticPr fontId="16" type="noConversion"/>
  </si>
  <si>
    <t>2030년(완공시)</t>
    <phoneticPr fontId="39" type="noConversion"/>
  </si>
  <si>
    <t>2024년 예정</t>
    <phoneticPr fontId="16" type="noConversion"/>
  </si>
  <si>
    <t xml:space="preserve">시
세
T
R
E
N
D
</t>
    <phoneticPr fontId="16" type="noConversion"/>
  </si>
  <si>
    <t>2027년(완공시)</t>
    <phoneticPr fontId="39" type="noConversion"/>
  </si>
  <si>
    <t>♦ 동항초등학교 (초품아)</t>
    <phoneticPr fontId="16" type="noConversion"/>
  </si>
  <si>
    <t>♦ 인근시세 대비 잉여프리미엄이 아주 높음.</t>
    <phoneticPr fontId="16" type="noConversion"/>
  </si>
  <si>
    <t>♦ 전체 9,092세대 중 조합원 약 2,800세대만 매매 가능하므로 시세 형성이 빠름.</t>
    <phoneticPr fontId="16" type="noConversion"/>
  </si>
  <si>
    <t>총구매 평당가(만원)</t>
    <phoneticPr fontId="16" type="noConversion"/>
  </si>
  <si>
    <t>2028년(완공시)</t>
    <phoneticPr fontId="39" type="noConversion"/>
  </si>
  <si>
    <t>20년10월~20년12월</t>
    <phoneticPr fontId="16" type="noConversion"/>
  </si>
  <si>
    <r>
      <rPr>
        <sz val="9.6999999999999993"/>
        <color rgb="FF000000"/>
        <rFont val="바탕"/>
        <family val="1"/>
        <charset val="129"/>
      </rPr>
      <t>♦</t>
    </r>
    <r>
      <rPr>
        <sz val="9.6999999999999993"/>
        <color rgb="FF000000"/>
        <rFont val="맑은 고딕"/>
        <family val="3"/>
        <charset val="129"/>
      </rPr>
      <t xml:space="preserve"> 특별건축구역으로 진행합니다.</t>
    </r>
    <phoneticPr fontId="16" type="noConversion"/>
  </si>
  <si>
    <t>♦ 시민공원주변재정비 구역 중 대장 단지이고, 부산진구 전체의 대장이며, 우동3구역/삼익비치재건축과 함께 부산을 대표하는 재개발단지입니다.</t>
    <phoneticPr fontId="16" type="noConversion"/>
  </si>
  <si>
    <t>♦ 부전역복합환승센터 개발계획과 함께 미래가치가 높습니다.</t>
    <phoneticPr fontId="16" type="noConversion"/>
  </si>
  <si>
    <t>♦ 사상~해운대 대심도 중간 진출입로 구간에 위치하여 교통이 편리하고 인근의 지가상승 또한 높습니다.</t>
    <phoneticPr fontId="16" type="noConversion"/>
  </si>
  <si>
    <t>♦ 성지토등학교 이전과 함께 초품아 단지입니다.</t>
    <phoneticPr fontId="16" type="noConversion"/>
  </si>
  <si>
    <t>♦ 도보 10분 거리로 서면상권의 이용이 편리합니다.</t>
    <phoneticPr fontId="16" type="noConversion"/>
  </si>
  <si>
    <t>좌천범일통합2지구</t>
    <phoneticPr fontId="16" type="noConversion"/>
  </si>
  <si>
    <t xml:space="preserve">좌천범일통합2 도시환경정비구역 </t>
    <phoneticPr fontId="16" type="noConversion"/>
  </si>
  <si>
    <t>동구 범일동 68-119번지 일원</t>
    <phoneticPr fontId="16" type="noConversion"/>
  </si>
  <si>
    <t>%</t>
    <phoneticPr fontId="16" type="noConversion"/>
  </si>
  <si>
    <t>1990.05.08</t>
    <phoneticPr fontId="16" type="noConversion"/>
  </si>
  <si>
    <t>2018.04.17</t>
    <phoneticPr fontId="16" type="noConversion"/>
  </si>
  <si>
    <t>-</t>
    <phoneticPr fontId="16" type="noConversion"/>
  </si>
  <si>
    <t>범일2구역</t>
    <phoneticPr fontId="16" type="noConversion"/>
  </si>
  <si>
    <t>범일2도시환경정비사업</t>
    <phoneticPr fontId="16" type="noConversion"/>
  </si>
  <si>
    <t>부산시 동구 범일동 662-59번지 일원</t>
    <phoneticPr fontId="16" type="noConversion"/>
  </si>
  <si>
    <t>지하4층, 지상 최고 49층</t>
    <phoneticPr fontId="16" type="noConversion"/>
  </si>
  <si>
    <t>135% (추진위 추정)</t>
    <phoneticPr fontId="16" type="noConversion"/>
  </si>
  <si>
    <t>2009.08.26</t>
    <phoneticPr fontId="16" type="noConversion"/>
  </si>
  <si>
    <t>2006.07.27</t>
    <phoneticPr fontId="16" type="noConversion"/>
  </si>
  <si>
    <t>2019.12.02</t>
    <phoneticPr fontId="16" type="noConversion"/>
  </si>
  <si>
    <t>52㎡</t>
    <phoneticPr fontId="16" type="noConversion"/>
  </si>
  <si>
    <t>O/T</t>
    <phoneticPr fontId="16" type="noConversion"/>
  </si>
  <si>
    <r>
      <t>78</t>
    </r>
    <r>
      <rPr>
        <b/>
        <sz val="10"/>
        <color rgb="FF000000"/>
        <rFont val="굴림"/>
        <family val="3"/>
        <charset val="129"/>
      </rPr>
      <t>㎡</t>
    </r>
    <phoneticPr fontId="16" type="noConversion"/>
  </si>
  <si>
    <r>
      <t>75A</t>
    </r>
    <r>
      <rPr>
        <b/>
        <sz val="10"/>
        <color rgb="FF000000"/>
        <rFont val="굴림"/>
        <family val="3"/>
        <charset val="129"/>
      </rPr>
      <t>㎡</t>
    </r>
    <phoneticPr fontId="16" type="noConversion"/>
  </si>
  <si>
    <r>
      <t>75B</t>
    </r>
    <r>
      <rPr>
        <b/>
        <sz val="10"/>
        <color rgb="FF000000"/>
        <rFont val="굴림"/>
        <family val="3"/>
        <charset val="129"/>
      </rPr>
      <t>㎡</t>
    </r>
    <phoneticPr fontId="16" type="noConversion"/>
  </si>
  <si>
    <t>84㎡</t>
    <phoneticPr fontId="16" type="noConversion"/>
  </si>
  <si>
    <t>107㎡</t>
    <phoneticPr fontId="16" type="noConversion"/>
  </si>
  <si>
    <t>♦ 부산의 중심도심으로 부산 핵심 지하철 1호선 범일역역의 바로 옆에 있는 초역세권이며 부산 전역을 오가는 버스 노선이 있음.</t>
    <phoneticPr fontId="16" type="noConversion"/>
  </si>
  <si>
    <t xml:space="preserve">♦ 현대백화점 부산점과 맞닿아 있어서 백화점을 내 아파트의 상가처럼 이용할 수 있는 장점을 가지고 있고, </t>
    <phoneticPr fontId="16" type="noConversion"/>
  </si>
  <si>
    <t xml:space="preserve">   부산진시장,ㅊ평화시장 등이 있다.</t>
    <phoneticPr fontId="16" type="noConversion"/>
  </si>
  <si>
    <t>♦ 부산 최대 오피스텔 밀집 지역인 서면과 중앙동이 불과 3분~5분이면 접근이 가능하고 부산역 역시도 가깝습니다.</t>
    <phoneticPr fontId="16" type="noConversion"/>
  </si>
  <si>
    <t>♦ 상업지역에 건축되기에 사업성이 높을 것으로 예상되고 현재 추진위에서 발표한 비례율이 135%으로 높다.</t>
    <phoneticPr fontId="16" type="noConversion"/>
  </si>
  <si>
    <t xml:space="preserve">   (가야~부산진 4.3Km 지하화 완료 기간 : ~ 2030년)</t>
    <phoneticPr fontId="16" type="noConversion"/>
  </si>
  <si>
    <t>♦ 부산대개조사업의 일환으로 진행되는 경부선 지하화와 함께 현 철로가 공원화 되면 본격적 시세 상승이 가능한 구역입니다.</t>
    <phoneticPr fontId="16" type="noConversion"/>
  </si>
  <si>
    <t>총구매평당가(만원)</t>
    <phoneticPr fontId="16" type="noConversion"/>
  </si>
  <si>
    <r>
      <t>84A</t>
    </r>
    <r>
      <rPr>
        <b/>
        <sz val="10"/>
        <color rgb="FF000000"/>
        <rFont val="굴림"/>
        <family val="3"/>
        <charset val="129"/>
      </rPr>
      <t>㎡</t>
    </r>
    <phoneticPr fontId="16" type="noConversion"/>
  </si>
  <si>
    <t>78A㎡</t>
    <phoneticPr fontId="16" type="noConversion"/>
  </si>
  <si>
    <t>78B㎡</t>
    <phoneticPr fontId="16" type="noConversion"/>
  </si>
  <si>
    <t>84A㎡</t>
    <phoneticPr fontId="16" type="noConversion"/>
  </si>
  <si>
    <t>84B㎡</t>
    <phoneticPr fontId="16" type="noConversion"/>
  </si>
  <si>
    <t>(예상)조합원평당분양가</t>
    <phoneticPr fontId="16" type="noConversion"/>
  </si>
  <si>
    <t>(예상)일반평당분양가</t>
    <phoneticPr fontId="16" type="noConversion"/>
  </si>
  <si>
    <t>현재 인근평당시세</t>
    <phoneticPr fontId="16" type="noConversion"/>
  </si>
  <si>
    <t>(예상)조합원평당분양가</t>
    <phoneticPr fontId="16" type="noConversion"/>
  </si>
  <si>
    <t>(예상)일반평당분양가</t>
    <phoneticPr fontId="16" type="noConversion"/>
  </si>
  <si>
    <t>현재 인근평당시세</t>
    <phoneticPr fontId="16" type="noConversion"/>
  </si>
  <si>
    <t>(예상)조합원평당분양가</t>
    <phoneticPr fontId="16" type="noConversion"/>
  </si>
  <si>
    <t>(예상)일반평당분양가</t>
    <phoneticPr fontId="16" type="noConversion"/>
  </si>
  <si>
    <t>현재 인근평당시세</t>
    <phoneticPr fontId="16" type="noConversion"/>
  </si>
  <si>
    <t>(예상)일반분양가대비</t>
    <phoneticPr fontId="16" type="noConversion"/>
  </si>
  <si>
    <t>일반분양가대비</t>
    <phoneticPr fontId="16" type="noConversion"/>
  </si>
  <si>
    <t>(예상)일반평당분양가
(대림인수가)</t>
    <phoneticPr fontId="16" type="noConversion"/>
  </si>
  <si>
    <t>(예상)일반평당분양가</t>
    <phoneticPr fontId="16" type="noConversion"/>
  </si>
  <si>
    <t>현재 인근평당시세</t>
    <phoneticPr fontId="16" type="noConversion"/>
  </si>
  <si>
    <t>그랑자이더비치</t>
    <phoneticPr fontId="16" type="noConversion"/>
  </si>
  <si>
    <t>남천2-3구역(삼익비치)주택재건축정비사업</t>
    <phoneticPr fontId="16" type="noConversion"/>
  </si>
  <si>
    <t>남천동 삼익비치 아파트</t>
    <phoneticPr fontId="16" type="noConversion"/>
  </si>
  <si>
    <t>현재 3,060세대</t>
    <phoneticPr fontId="16" type="noConversion"/>
  </si>
  <si>
    <t>비고</t>
    <phoneticPr fontId="16" type="noConversion"/>
  </si>
  <si>
    <t>-</t>
    <phoneticPr fontId="16" type="noConversion"/>
  </si>
  <si>
    <t>재건축초과환수제 대상x(이익이 크지 않음), 비례율은 높지 안을 듯. (외관건축디자인 SMDP)</t>
    <phoneticPr fontId="16" type="noConversion"/>
  </si>
  <si>
    <t>2014.05.21</t>
    <phoneticPr fontId="16" type="noConversion"/>
  </si>
  <si>
    <t>2016.07.27</t>
    <phoneticPr fontId="16" type="noConversion"/>
  </si>
  <si>
    <t>2021년 상반기</t>
    <phoneticPr fontId="16" type="noConversion"/>
  </si>
  <si>
    <t>2023년 예정</t>
    <phoneticPr fontId="16" type="noConversion"/>
  </si>
  <si>
    <t>2024년 예정</t>
    <phoneticPr fontId="16" type="noConversion"/>
  </si>
  <si>
    <t>2025년 예정</t>
    <phoneticPr fontId="16" type="noConversion"/>
  </si>
  <si>
    <t>2026년 예정</t>
    <phoneticPr fontId="16" type="noConversion"/>
  </si>
  <si>
    <t>84A</t>
    <phoneticPr fontId="16" type="noConversion"/>
  </si>
  <si>
    <t>현재 대지지분 평당가</t>
    <phoneticPr fontId="16" type="noConversion"/>
  </si>
  <si>
    <t>잉
여
프
리
미
엄
(비례율 100%기준)</t>
    <phoneticPr fontId="16" type="noConversion"/>
  </si>
  <si>
    <t>현재 인근 대지지분 평당가</t>
    <phoneticPr fontId="16" type="noConversion"/>
  </si>
  <si>
    <t>잉여프리미엄</t>
    <phoneticPr fontId="16" type="noConversion"/>
  </si>
  <si>
    <t>2029년(완공시)</t>
    <phoneticPr fontId="39" type="noConversion"/>
  </si>
  <si>
    <t>2029년 예정</t>
    <phoneticPr fontId="16" type="noConversion"/>
  </si>
  <si>
    <t>♦ 광안대교 및 바다조망</t>
    <phoneticPr fontId="16" type="noConversion"/>
  </si>
  <si>
    <r>
      <rPr>
        <sz val="9.6999999999999993"/>
        <color rgb="FF000000"/>
        <rFont val="바탕"/>
        <family val="1"/>
        <charset val="129"/>
      </rPr>
      <t>♦</t>
    </r>
    <r>
      <rPr>
        <sz val="9.6999999999999993"/>
        <color rgb="FF000000"/>
        <rFont val="맑은 고딕"/>
        <family val="3"/>
        <charset val="129"/>
      </rPr>
      <t xml:space="preserve"> 딱히 수식어가 불필요한 입지임.</t>
    </r>
    <phoneticPr fontId="16" type="noConversion"/>
  </si>
  <si>
    <t>♦ 부산을 대표하는 랜드마크</t>
    <phoneticPr fontId="16" type="noConversion"/>
  </si>
  <si>
    <t>♦ 재건축 후 바다 조망권을 두고 조합원들간의 이해관계가 복잡해질 것으로 예상됨.</t>
    <phoneticPr fontId="16" type="noConversion"/>
  </si>
  <si>
    <t>조합원 동호수 추첨 후 바다 조망권이 나오는 동,호는
더욱 큰 프리미엄상승이 예상됨.</t>
    <phoneticPr fontId="16" type="noConversion"/>
  </si>
  <si>
    <t xml:space="preserve">   - 총 1조 2,156억원의 사업으로 추진하고 있으며 2030년까지 완료를 목표로 진행하고 있슴.</t>
    <phoneticPr fontId="16" type="noConversion"/>
  </si>
  <si>
    <t xml:space="preserve">  - 범천 차량정비창 개발 이슈와 함께 지속적인 관심을 받을 수밖에 없는 재개발 구역임.</t>
    <phoneticPr fontId="16" type="noConversion"/>
  </si>
  <si>
    <t xml:space="preserve">  - 항노화 생명공학연구 단지 등의 조성예정으로 인프라 시설 확충</t>
    <phoneticPr fontId="16" type="noConversion"/>
  </si>
  <si>
    <t xml:space="preserve">   - 부전역을 일반철도 통합역으로 하고, 서울 코엑스처럼 복합 계발 예정</t>
    <phoneticPr fontId="16" type="noConversion"/>
  </si>
  <si>
    <t xml:space="preserve">   - 경부선 철도지하화</t>
    <phoneticPr fontId="16" type="noConversion"/>
  </si>
  <si>
    <t xml:space="preserve">   - 2027년까지 범천차량정비단 부산신항역 통합이전 (6,293억 원), 정부사업으로 진행함</t>
    <phoneticPr fontId="16" type="noConversion"/>
  </si>
  <si>
    <t>범천동 차량정비단 이전 (전체 면적 : 209,700m2 (6만3천평), 시민공원의 2배 면적임)</t>
    <phoneticPr fontId="16" type="noConversion"/>
  </si>
  <si>
    <t>세
대
구
성
(미정)</t>
    <phoneticPr fontId="16" type="noConversion"/>
  </si>
  <si>
    <t>가야1구역</t>
    <phoneticPr fontId="16" type="noConversion"/>
  </si>
  <si>
    <t>가야1구역 주택재개발정비사업</t>
    <phoneticPr fontId="16" type="noConversion"/>
  </si>
  <si>
    <t>부산 부산진구 가야동 410일원</t>
    <phoneticPr fontId="16" type="noConversion"/>
  </si>
  <si>
    <t>지하5층/지상21층</t>
    <phoneticPr fontId="16" type="noConversion"/>
  </si>
  <si>
    <t>현대산업개발+대우건설</t>
    <phoneticPr fontId="16" type="noConversion"/>
  </si>
  <si>
    <t>건축심의</t>
    <phoneticPr fontId="16" type="noConversion"/>
  </si>
  <si>
    <t>2020.03.10 조건부 ok</t>
    <phoneticPr fontId="16" type="noConversion"/>
  </si>
  <si>
    <t>-</t>
    <phoneticPr fontId="16" type="noConversion"/>
  </si>
  <si>
    <t>84A</t>
    <phoneticPr fontId="16" type="noConversion"/>
  </si>
  <si>
    <t>남천2-3 남천삼익비치 재건축구역</t>
    <phoneticPr fontId="16" type="noConversion"/>
  </si>
  <si>
    <t>-</t>
    <phoneticPr fontId="16" type="noConversion"/>
  </si>
  <si>
    <t>연제구 거제1동 212번지 일원(고려맨션 일원)</t>
    <phoneticPr fontId="16" type="noConversion"/>
  </si>
  <si>
    <t>지하2층/지상22~35층</t>
    <phoneticPr fontId="16" type="noConversion"/>
  </si>
  <si>
    <t>거제1구역 주택재건축정비사업조합 (051-506-5256)</t>
    <phoneticPr fontId="16" type="noConversion"/>
  </si>
  <si>
    <t>2007.08.01</t>
    <phoneticPr fontId="16" type="noConversion"/>
  </si>
  <si>
    <t>구역해제기한연장고시</t>
    <phoneticPr fontId="16" type="noConversion"/>
  </si>
  <si>
    <t>2020.03.18</t>
    <phoneticPr fontId="16" type="noConversion"/>
  </si>
  <si>
    <t>조합설립추진위승인</t>
    <phoneticPr fontId="16" type="noConversion"/>
  </si>
  <si>
    <t>2019.10.23</t>
    <phoneticPr fontId="16" type="noConversion"/>
  </si>
  <si>
    <t>조합설립인가</t>
    <phoneticPr fontId="16" type="noConversion"/>
  </si>
  <si>
    <t>사업시행인가</t>
    <phoneticPr fontId="16" type="noConversion"/>
  </si>
  <si>
    <t>관리처분계획승인</t>
    <phoneticPr fontId="16" type="noConversion"/>
  </si>
  <si>
    <r>
      <rPr>
        <sz val="9.6999999999999993"/>
        <color rgb="FF000000"/>
        <rFont val="바탕"/>
        <family val="1"/>
        <charset val="129"/>
      </rPr>
      <t>♦</t>
    </r>
    <r>
      <rPr>
        <sz val="9.6999999999999993"/>
        <color rgb="FF000000"/>
        <rFont val="맑은 고딕"/>
        <family val="3"/>
        <charset val="129"/>
      </rPr>
      <t xml:space="preserve"> 지하철 1호선 교대역에서 도보 5분거리</t>
    </r>
    <phoneticPr fontId="16" type="noConversion"/>
  </si>
  <si>
    <t>♦ 중앙대로를 접도하고 있고, 서면과 동래구로의 이동이 수월하다.</t>
    <phoneticPr fontId="16" type="noConversion"/>
  </si>
  <si>
    <t>♦ 온천천 시민공원을 도보 5분 거리로 이용가능.</t>
    <phoneticPr fontId="16" type="noConversion"/>
  </si>
  <si>
    <t>♦ 반경 1.5Km 이내 롯데백화점 동래점이 위치하고 있음.</t>
    <phoneticPr fontId="16" type="noConversion"/>
  </si>
  <si>
    <t>잉여프리미엄</t>
    <phoneticPr fontId="16" type="noConversion"/>
  </si>
  <si>
    <r>
      <t xml:space="preserve">2020.03.02일 일몰제에 걸려서 정부구역해제 연장 신청 및 연장고시된 상태임. -&gt; 2022년까지 조합설립에 실패하면 구역지정해지 필.
이곳은 </t>
    </r>
    <r>
      <rPr>
        <sz val="11"/>
        <color rgb="FFFF0000"/>
        <rFont val="맑은 고딕"/>
        <family val="3"/>
        <charset val="129"/>
      </rPr>
      <t>구역해제 리스크가 크므로 조합설립 후 투자를 고민해야 함.</t>
    </r>
    <phoneticPr fontId="16" type="noConversion"/>
  </si>
  <si>
    <t>인근 비교 신축 단지 : 거제센트럴자이
(현 네이버부동산 호가 기준)</t>
    <phoneticPr fontId="16" type="noConversion"/>
  </si>
  <si>
    <t>사직1-5 재건축</t>
    <phoneticPr fontId="16" type="noConversion"/>
  </si>
  <si>
    <t>거제1 재건축</t>
    <phoneticPr fontId="16" type="noConversion"/>
  </si>
  <si>
    <t>동래구 사직동 16-1번지 일원</t>
    <phoneticPr fontId="16" type="noConversion"/>
  </si>
  <si>
    <t>사직1-5구역 주택재건축</t>
    <phoneticPr fontId="16" type="noConversion"/>
  </si>
  <si>
    <t>2005.09.21</t>
    <phoneticPr fontId="16" type="noConversion"/>
  </si>
  <si>
    <t>조합설립추진위승인 쉬소
및 사업시행자 지정</t>
    <phoneticPr fontId="16" type="noConversion"/>
  </si>
  <si>
    <t>2020.01.15</t>
    <phoneticPr fontId="16" type="noConversion"/>
  </si>
  <si>
    <t>지하 3층/지상 30층</t>
    <phoneticPr fontId="16" type="noConversion"/>
  </si>
  <si>
    <t>인근 비교 신축 단지 : 사직 KCC스위첸2차</t>
    <phoneticPr fontId="16" type="noConversion"/>
  </si>
  <si>
    <t>♦ 사직1-5(삼익아파트+로얄1차)는 조합이 아닌 한국자산신탁을 시행자로 선택하면서 보다 빠른 사업진행이 기대됨.</t>
    <phoneticPr fontId="16" type="noConversion"/>
  </si>
  <si>
    <t xml:space="preserve">♦ 명문 학군을 갖추고 있음 -&gt; 사직고등학교, 사직초등학교, 사직중학고, 사직여자고등학교, 사직여자중학교 등을 도보 거리에 두고 있다. </t>
    <phoneticPr fontId="16" type="noConversion"/>
  </si>
  <si>
    <t>♦ 지하철3호선 사직역에서 도보 5분거리로 역세권임.</t>
    <phoneticPr fontId="16" type="noConversion"/>
  </si>
  <si>
    <t>♦ 사직운동장에서 도보 5분 거리에 있고, 사직동 상권을 5분 거리로 이용 가능함.</t>
    <phoneticPr fontId="16" type="noConversion"/>
  </si>
  <si>
    <r>
      <t xml:space="preserve">2020.01.15 </t>
    </r>
    <r>
      <rPr>
        <sz val="11"/>
        <color rgb="FFFF0000"/>
        <rFont val="맑은 고딕"/>
        <family val="3"/>
        <charset val="129"/>
      </rPr>
      <t>사업시행자</t>
    </r>
    <r>
      <rPr>
        <sz val="11"/>
        <rFont val="맑은 고딕"/>
        <family val="3"/>
        <charset val="129"/>
      </rPr>
      <t xml:space="preserve">를 </t>
    </r>
    <r>
      <rPr>
        <sz val="11"/>
        <color rgb="FFFF0000"/>
        <rFont val="맑은 고딕"/>
        <family val="3"/>
        <charset val="129"/>
      </rPr>
      <t>한국자산신탁㈜</t>
    </r>
    <r>
      <rPr>
        <sz val="11"/>
        <rFont val="맑은 고딕"/>
        <family val="3"/>
        <charset val="129"/>
      </rPr>
      <t>로 지정함.</t>
    </r>
    <phoneticPr fontId="16" type="noConversion"/>
  </si>
  <si>
    <r>
      <rPr>
        <sz val="9.6999999999999993"/>
        <color rgb="FF000000"/>
        <rFont val="바탕"/>
        <family val="1"/>
        <charset val="129"/>
      </rPr>
      <t>♦</t>
    </r>
    <r>
      <rPr>
        <sz val="9.6999999999999993"/>
        <color rgb="FF000000"/>
        <rFont val="맑은 고딕"/>
        <family val="3"/>
        <charset val="129"/>
      </rPr>
      <t xml:space="preserve"> 사직1-6(동일+대건+로얄2차+로얄3차+유림하이트)과 함께 운동장 인근에 마지막 남은 재건축 단지임.-&gt; 희소가치 높음.</t>
    </r>
    <phoneticPr fontId="16" type="noConversion"/>
  </si>
  <si>
    <t>사직1-6재건축</t>
    <phoneticPr fontId="16" type="noConversion"/>
  </si>
  <si>
    <t>사직1-6구역 주택재건축</t>
    <phoneticPr fontId="16" type="noConversion"/>
  </si>
  <si>
    <t>동래구 사직동 630번지 일원</t>
    <phoneticPr fontId="16" type="noConversion"/>
  </si>
  <si>
    <t>지하 3층/지상 35층</t>
    <phoneticPr fontId="16" type="noConversion"/>
  </si>
  <si>
    <t>현대건설(힐스테이트)</t>
    <phoneticPr fontId="16" type="noConversion"/>
  </si>
  <si>
    <t>2005.05.11</t>
    <phoneticPr fontId="16" type="noConversion"/>
  </si>
  <si>
    <t>조합설립인가</t>
    <phoneticPr fontId="16" type="noConversion"/>
  </si>
  <si>
    <t>2016.11.01</t>
    <phoneticPr fontId="16" type="noConversion"/>
  </si>
  <si>
    <t>2019.11.29</t>
    <phoneticPr fontId="16" type="noConversion"/>
  </si>
  <si>
    <t>2022년 예정</t>
    <phoneticPr fontId="16" type="noConversion"/>
  </si>
  <si>
    <t>2023년 예정</t>
    <phoneticPr fontId="16" type="noConversion"/>
  </si>
  <si>
    <t>2024년 예정</t>
    <phoneticPr fontId="16" type="noConversion"/>
  </si>
  <si>
    <t>2025년 예정</t>
    <phoneticPr fontId="16" type="noConversion"/>
  </si>
  <si>
    <t>2028년 예정</t>
    <phoneticPr fontId="16" type="noConversion"/>
  </si>
  <si>
    <t>인근 비교 신축 단지 : 사직 KCC스위첸2차 84타입</t>
    <phoneticPr fontId="16" type="noConversion"/>
  </si>
  <si>
    <t>구분</t>
    <phoneticPr fontId="16" type="noConversion"/>
  </si>
  <si>
    <t>사직동일(26평형)</t>
    <phoneticPr fontId="16" type="noConversion"/>
  </si>
  <si>
    <t>로얄3차(29평형)</t>
    <phoneticPr fontId="16" type="noConversion"/>
  </si>
  <si>
    <t>로얄2차(29평형)</t>
    <phoneticPr fontId="16" type="noConversion"/>
  </si>
  <si>
    <t>대건빌라(27평형)</t>
    <phoneticPr fontId="16" type="noConversion"/>
  </si>
  <si>
    <r>
      <rPr>
        <sz val="9.6999999999999993"/>
        <color rgb="FF000000"/>
        <rFont val="바탕"/>
        <family val="1"/>
        <charset val="129"/>
      </rPr>
      <t>♦</t>
    </r>
    <r>
      <rPr>
        <sz val="9.6999999999999993"/>
        <color rgb="FF000000"/>
        <rFont val="맑은 고딕"/>
        <family val="3"/>
        <charset val="129"/>
      </rPr>
      <t xml:space="preserve"> 사직1-5와 함께 사직운동장 인근에 마지막 남은 재건축 단지임.-&gt; 희소가치 높음.</t>
    </r>
    <phoneticPr fontId="16" type="noConversion"/>
  </si>
  <si>
    <t>-</t>
    <phoneticPr fontId="16" type="noConversion"/>
  </si>
  <si>
    <t>부곡2구역</t>
    <phoneticPr fontId="16" type="noConversion"/>
  </si>
  <si>
    <t>부산시 금정구 부곡동 279번지 일대</t>
    <phoneticPr fontId="16" type="noConversion"/>
  </si>
  <si>
    <t>지하4층/지상42층</t>
    <phoneticPr fontId="16" type="noConversion"/>
  </si>
  <si>
    <t>GS+SK+포스코</t>
    <phoneticPr fontId="16" type="noConversion"/>
  </si>
  <si>
    <t>비고</t>
    <phoneticPr fontId="16" type="noConversion"/>
  </si>
  <si>
    <t>시공사는 3사 컨소시엄이나 단지 브렌드는 GS단일 브랜드로 지정될 예정임.</t>
    <phoneticPr fontId="16" type="noConversion"/>
  </si>
  <si>
    <t>2008.10.15</t>
    <phoneticPr fontId="16" type="noConversion"/>
  </si>
  <si>
    <t>2018.10.29</t>
    <phoneticPr fontId="16" type="noConversion"/>
  </si>
  <si>
    <t>2019.04.13</t>
    <phoneticPr fontId="16" type="noConversion"/>
  </si>
  <si>
    <t>시공사선정</t>
    <phoneticPr fontId="16" type="noConversion"/>
  </si>
  <si>
    <t>2021년예정</t>
    <phoneticPr fontId="16" type="noConversion"/>
  </si>
  <si>
    <t>2023년 예정</t>
    <phoneticPr fontId="16" type="noConversion"/>
  </si>
  <si>
    <t>발코니 확장, 시스템에어콘 2대 (거실, 안방)
복층유리 이중창 샤시, LED TV(60인치), 양문형냉장고
그럼세탁기, 전기빨리건조기, 스타일러, 무선청소기
3구쿡탑, 광파오블렌지, 거실아트윌, 거실우물천장, 침실붙박이장
실크벽지, 현관중문, 현관천연석마감, 신발장, 전실강마루 등등
[출처] 부곡2구역 재개발 사업상세와 물건 안내|작성자 망찬</t>
    <phoneticPr fontId="16" type="noConversion"/>
  </si>
  <si>
    <t>39(임대)</t>
    <phoneticPr fontId="16" type="noConversion"/>
  </si>
  <si>
    <t>44(임대)</t>
    <phoneticPr fontId="16" type="noConversion"/>
  </si>
  <si>
    <t>44</t>
    <phoneticPr fontId="16" type="noConversion"/>
  </si>
  <si>
    <t>59A</t>
    <phoneticPr fontId="16" type="noConversion"/>
  </si>
  <si>
    <t>74A</t>
    <phoneticPr fontId="16" type="noConversion"/>
  </si>
  <si>
    <t>74B</t>
    <phoneticPr fontId="16" type="noConversion"/>
  </si>
  <si>
    <t>84A</t>
    <phoneticPr fontId="16" type="noConversion"/>
  </si>
  <si>
    <t>84B</t>
    <phoneticPr fontId="16" type="noConversion"/>
  </si>
  <si>
    <t>84C</t>
    <phoneticPr fontId="16" type="noConversion"/>
  </si>
  <si>
    <t>108A</t>
    <phoneticPr fontId="16" type="noConversion"/>
  </si>
  <si>
    <t>84T(테라스)</t>
    <phoneticPr fontId="16" type="noConversion"/>
  </si>
  <si>
    <t>126A(구분형3세대)</t>
    <phoneticPr fontId="16" type="noConversion"/>
  </si>
  <si>
    <t>124P(펜트하우스)</t>
    <phoneticPr fontId="16" type="noConversion"/>
  </si>
  <si>
    <t>126P(팬트하우스)</t>
    <phoneticPr fontId="16" type="noConversion"/>
  </si>
  <si>
    <r>
      <rPr>
        <b/>
        <sz val="9.6999999999999993"/>
        <color rgb="FF000000"/>
        <rFont val="맑은 고딕"/>
        <family val="3"/>
        <charset val="129"/>
      </rPr>
      <t>1. 1군 시공사와 선호도 높은 브랜드</t>
    </r>
    <r>
      <rPr>
        <sz val="9.6999999999999993"/>
        <color rgb="FF000000"/>
        <rFont val="맑은 고딕"/>
        <family val="3"/>
        <charset val="129"/>
      </rPr>
      <t xml:space="preserve">
1군 건설사인 GS건설, SK건설, 포스코건설 컨소시엄이며 브랜드는 부산에서 선호도가 높은 단일 브랜드 자이로 건설이 될 예정입니다.
공구를 나누지 않고 일괄시공하여 공공 이행방식으로 진행하여 입주후 편리합니다.​
</t>
    </r>
    <r>
      <rPr>
        <b/>
        <sz val="9.6999999999999993"/>
        <color rgb="FF000000"/>
        <rFont val="맑은 고딕"/>
        <family val="3"/>
        <charset val="129"/>
      </rPr>
      <t>2. 남향 배치</t>
    </r>
    <r>
      <rPr>
        <sz val="9.6999999999999993"/>
        <color rgb="FF000000"/>
        <rFont val="맑은 고딕"/>
        <family val="3"/>
        <charset val="129"/>
      </rPr>
      <t xml:space="preserve">
전세대 100% 남향으로 배치하며, 동간 이격거리를 최대 학보하여 채광이 기대가 됩니다.​
</t>
    </r>
    <r>
      <rPr>
        <b/>
        <sz val="9.6999999999999993"/>
        <color rgb="FF000000"/>
        <rFont val="맑은 고딕"/>
        <family val="3"/>
        <charset val="129"/>
      </rPr>
      <t>3. 교통</t>
    </r>
    <r>
      <rPr>
        <sz val="9.6999999999999993"/>
        <color rgb="FF000000"/>
        <rFont val="맑은 고딕"/>
        <family val="3"/>
        <charset val="129"/>
      </rPr>
      <t xml:space="preserve">
부산대 지하철역 도보 10여분으로 이용 가능하여 준역세권이며 구서 IC를 통한 경부고속도로, 부산외곽 순환 고속도로, 도시고속도로 이용이 편리하여 시외로 시내로 모두 편리하게 이동이 가능합니다. 또한, 산성터널을 통한 서부산권으로 이동 용이합니다.​
</t>
    </r>
    <r>
      <rPr>
        <b/>
        <sz val="9.6999999999999993"/>
        <color rgb="FF000000"/>
        <rFont val="맑은 고딕"/>
        <family val="3"/>
        <charset val="129"/>
      </rPr>
      <t>4. 초품아 학군</t>
    </r>
    <r>
      <rPr>
        <sz val="9.6999999999999993"/>
        <color rgb="FF000000"/>
        <rFont val="맑은 고딕"/>
        <family val="3"/>
        <charset val="129"/>
      </rPr>
      <t xml:space="preserve">
현곡초가 바로 뒤에 인근에 부곡초, 부곡중, 금양중, 부곡여중, 사대부고, 내성고등 다양한 학교가위치해 있습니다.​
</t>
    </r>
    <r>
      <rPr>
        <b/>
        <sz val="9.6999999999999993"/>
        <color rgb="FF000000"/>
        <rFont val="맑은 고딕"/>
        <family val="3"/>
        <charset val="129"/>
      </rPr>
      <t>5, 주거 편의성</t>
    </r>
    <r>
      <rPr>
        <sz val="9.6999999999999993"/>
        <color rgb="FF000000"/>
        <rFont val="맑은 고딕"/>
        <family val="3"/>
        <charset val="129"/>
      </rPr>
      <t xml:space="preserve">
바로 앞의 다양한 부산대 상권을 이용할 수 있는 것이 가장 큰 장점이며 NC백화점(부산대), 룻데백화점, 홈플러스(온천장), 롯데마트(금정점), 이마트(금정점), 부곡시장등 생활 인프라가 좋습니다..
</t>
    </r>
    <r>
      <rPr>
        <b/>
        <sz val="9.6999999999999993"/>
        <color rgb="FF000000"/>
        <rFont val="맑은 고딕"/>
        <family val="3"/>
        <charset val="129"/>
      </rPr>
      <t>6. 숲세권, 온천천</t>
    </r>
    <r>
      <rPr>
        <sz val="9.6999999999999993"/>
        <color rgb="FF000000"/>
        <rFont val="맑은 고딕"/>
        <family val="3"/>
        <charset val="129"/>
      </rPr>
      <t xml:space="preserve">
윤산을 바로 뒤에 두고 있는 것은 물론이며 앞으로는 온천천이 있어서 좋은 휴식공간을 제공하며 인근으로 금정산, 오륜대, 범어사 등 쉽고 편하게 이용이 가능합니다.</t>
    </r>
    <phoneticPr fontId="16" type="noConversion"/>
  </si>
  <si>
    <t>초량2구역</t>
    <phoneticPr fontId="16" type="noConversion"/>
  </si>
  <si>
    <t>초량2주택재개발</t>
    <phoneticPr fontId="16" type="noConversion"/>
  </si>
  <si>
    <t>동구 초량동 754-137번지 일원</t>
    <phoneticPr fontId="16" type="noConversion"/>
  </si>
  <si>
    <t>2021년 예정</t>
    <phoneticPr fontId="16" type="noConversion"/>
  </si>
  <si>
    <t>지하5층/지상21층</t>
    <phoneticPr fontId="16" type="noConversion"/>
  </si>
  <si>
    <t>2016.11.16</t>
    <phoneticPr fontId="16" type="noConversion"/>
  </si>
  <si>
    <t>특별건축구역</t>
    <phoneticPr fontId="16" type="noConversion"/>
  </si>
  <si>
    <t>2020.04.08</t>
    <phoneticPr fontId="16" type="noConversion"/>
  </si>
  <si>
    <t>2022년 예정</t>
    <phoneticPr fontId="16" type="noConversion"/>
  </si>
  <si>
    <t>2023년 예정</t>
    <phoneticPr fontId="16" type="noConversion"/>
  </si>
  <si>
    <t>2024년 예정</t>
    <phoneticPr fontId="16" type="noConversion"/>
  </si>
  <si>
    <t>2025년 예정</t>
    <phoneticPr fontId="16" type="noConversion"/>
  </si>
  <si>
    <t>2029년 예정</t>
    <phoneticPr fontId="16" type="noConversion"/>
  </si>
  <si>
    <t>68T</t>
    <phoneticPr fontId="16" type="noConversion"/>
  </si>
  <si>
    <t>59</t>
    <phoneticPr fontId="16" type="noConversion"/>
  </si>
  <si>
    <t>68A</t>
    <phoneticPr fontId="16" type="noConversion"/>
  </si>
  <si>
    <t>74</t>
    <phoneticPr fontId="16" type="noConversion"/>
  </si>
  <si>
    <t>84A</t>
    <phoneticPr fontId="16" type="noConversion"/>
  </si>
  <si>
    <t>84B</t>
    <phoneticPr fontId="16" type="noConversion"/>
  </si>
  <si>
    <t xml:space="preserve">임대주택 20세대 포함 </t>
    <phoneticPr fontId="16" type="noConversion"/>
  </si>
  <si>
    <t>39</t>
    <phoneticPr fontId="16" type="noConversion"/>
  </si>
  <si>
    <t>♦ 산복도로르네상스 도시재정비사업 진행</t>
    <phoneticPr fontId="16" type="noConversion"/>
  </si>
  <si>
    <t>♦ 부산 제1호 주거형 특별건축구역 지정</t>
    <phoneticPr fontId="16" type="noConversion"/>
  </si>
  <si>
    <t>♦ 고지대로 인하 북항 조망권 확보</t>
    <phoneticPr fontId="16" type="noConversion"/>
  </si>
  <si>
    <t>2022년 예정</t>
    <phoneticPr fontId="16" type="noConversion"/>
  </si>
  <si>
    <t>2024년 예정</t>
    <phoneticPr fontId="16" type="noConversion"/>
  </si>
  <si>
    <t>2025년 예정</t>
    <phoneticPr fontId="16" type="noConversion"/>
  </si>
  <si>
    <t>2026년 예정</t>
    <phoneticPr fontId="16" type="noConversion"/>
  </si>
  <si>
    <t>2027년 예정</t>
    <phoneticPr fontId="16" type="noConversion"/>
  </si>
  <si>
    <t>2028년 예정</t>
    <phoneticPr fontId="16" type="noConversion"/>
  </si>
  <si>
    <t>♦ 저렴한 조합원분양가 (뉴스테이 연계형으로서 공사지연 및 건설원자재 가격 상승에 따른 조합원분양가의 인상 가능성 있음)</t>
    <phoneticPr fontId="16" type="noConversion"/>
  </si>
  <si>
    <r>
      <rPr>
        <sz val="10"/>
        <color rgb="FF000000"/>
        <rFont val="바탕"/>
        <family val="1"/>
        <charset val="129"/>
      </rPr>
      <t>♦</t>
    </r>
    <r>
      <rPr>
        <sz val="10"/>
        <color rgb="FF000000"/>
        <rFont val="맑은 고딕"/>
        <family val="3"/>
        <charset val="129"/>
      </rPr>
      <t xml:space="preserve"> 총세대수 9,092세대로서 신도시급 대단지 재개발구역입니다.</t>
    </r>
    <phoneticPr fontId="16" type="noConversion"/>
  </si>
  <si>
    <t>5월 관리처분 총회예정</t>
    <phoneticPr fontId="16" type="noConversion"/>
  </si>
  <si>
    <t>올해말 관리처분인가를 목표</t>
    <phoneticPr fontId="16" type="noConversion"/>
  </si>
  <si>
    <t>♦ 부산항대교 및 신선대부두 바다 조망권을 갖추고 있습니다.</t>
    <phoneticPr fontId="16" type="noConversion"/>
  </si>
  <si>
    <t>현대산업개발</t>
    <phoneticPr fontId="16" type="noConversion"/>
  </si>
  <si>
    <t>10개동/지하4층 / 지상34층</t>
    <phoneticPr fontId="16" type="noConversion"/>
  </si>
  <si>
    <t>39(임대)</t>
    <phoneticPr fontId="16" type="noConversion"/>
  </si>
  <si>
    <t>139(57평)</t>
    <phoneticPr fontId="16" type="noConversion"/>
  </si>
  <si>
    <t>84(34평)</t>
    <phoneticPr fontId="16" type="noConversion"/>
  </si>
  <si>
    <t>59(25평)</t>
    <phoneticPr fontId="16" type="noConversion"/>
  </si>
  <si>
    <t xml:space="preserve">
(현재 예상)
총
프
리
미
엄
(비례율 100%기준)</t>
    <phoneticPr fontId="16" type="noConversion"/>
  </si>
  <si>
    <t>지하3층/지상 최고 60층
/23개동/평균 40층 이하</t>
    <phoneticPr fontId="16" type="noConversion"/>
  </si>
  <si>
    <r>
      <t>84</t>
    </r>
    <r>
      <rPr>
        <b/>
        <sz val="10"/>
        <color rgb="FF000000"/>
        <rFont val="굴림"/>
        <family val="3"/>
        <charset val="129"/>
      </rPr>
      <t>㎡</t>
    </r>
    <phoneticPr fontId="16" type="noConversion"/>
  </si>
  <si>
    <r>
      <t>59</t>
    </r>
    <r>
      <rPr>
        <b/>
        <sz val="10"/>
        <color rgb="FF000000"/>
        <rFont val="굴림"/>
        <family val="3"/>
        <charset val="129"/>
      </rPr>
      <t>㎡</t>
    </r>
    <phoneticPr fontId="16" type="noConversion"/>
  </si>
  <si>
    <r>
      <t>75</t>
    </r>
    <r>
      <rPr>
        <b/>
        <sz val="10"/>
        <color rgb="FF000000"/>
        <rFont val="굴림"/>
        <family val="3"/>
        <charset val="129"/>
      </rPr>
      <t>㎡</t>
    </r>
    <phoneticPr fontId="16" type="noConversion"/>
  </si>
  <si>
    <t>110㎡</t>
    <phoneticPr fontId="16" type="noConversion"/>
  </si>
  <si>
    <t xml:space="preserve">   - 2019.10.18 범천기지이전, 공공기관 예비타당성조사 대상 사업 최종 선정. (2020년 6월중 예타 결과 나올 예정)</t>
    <phoneticPr fontId="16" type="noConversion"/>
  </si>
  <si>
    <r>
      <t>39</t>
    </r>
    <r>
      <rPr>
        <b/>
        <sz val="10"/>
        <color rgb="FF000000"/>
        <rFont val="굴림"/>
        <family val="3"/>
        <charset val="129"/>
      </rPr>
      <t>㎡</t>
    </r>
    <r>
      <rPr>
        <b/>
        <sz val="10"/>
        <color rgb="FF000000"/>
        <rFont val="맑은 고딕"/>
        <family val="3"/>
        <charset val="129"/>
      </rPr>
      <t xml:space="preserve"> (임대)</t>
    </r>
    <phoneticPr fontId="16" type="noConversion"/>
  </si>
  <si>
    <t>평균 총구매 평당가(만원)</t>
    <phoneticPr fontId="16" type="noConversion"/>
  </si>
  <si>
    <t>2021년 예정</t>
    <phoneticPr fontId="16" type="noConversion"/>
  </si>
  <si>
    <t>2023년 예정</t>
    <phoneticPr fontId="16" type="noConversion"/>
  </si>
  <si>
    <t>2024년 예정</t>
    <phoneticPr fontId="16" type="noConversion"/>
  </si>
  <si>
    <t>2025년 예정</t>
    <phoneticPr fontId="16" type="noConversion"/>
  </si>
  <si>
    <t>2026년 예정</t>
    <phoneticPr fontId="16" type="noConversion"/>
  </si>
  <si>
    <t>2030년 예정</t>
    <phoneticPr fontId="16" type="noConversion"/>
  </si>
  <si>
    <t>2030년 준공예정</t>
    <phoneticPr fontId="16" type="noConversion"/>
  </si>
  <si>
    <t>2019년</t>
    <phoneticPr fontId="16" type="noConversion"/>
  </si>
  <si>
    <t>2022년 예정</t>
    <phoneticPr fontId="16" type="noConversion"/>
  </si>
  <si>
    <t>2027년 예정</t>
    <phoneticPr fontId="16" type="noConversion"/>
  </si>
  <si>
    <t>2030년 예정</t>
    <phoneticPr fontId="16" type="noConversion"/>
  </si>
  <si>
    <t>2026년 준공예정</t>
    <phoneticPr fontId="16" type="noConversion"/>
  </si>
  <si>
    <t>20년01월~20년03월</t>
    <phoneticPr fontId="16" type="noConversion"/>
  </si>
  <si>
    <t>2030년(완공시)</t>
    <phoneticPr fontId="39" type="noConversion"/>
  </si>
  <si>
    <t>2024년(완공시)</t>
    <phoneticPr fontId="16" type="noConversion"/>
  </si>
  <si>
    <t>2019년</t>
    <phoneticPr fontId="16" type="noConversion"/>
  </si>
  <si>
    <t>2026년(완공시)</t>
    <phoneticPr fontId="16" type="noConversion"/>
  </si>
  <si>
    <t>2027년(완공시)</t>
    <phoneticPr fontId="39" type="noConversion"/>
  </si>
  <si>
    <t>2030년(준공시)</t>
    <phoneticPr fontId="16" type="noConversion"/>
  </si>
  <si>
    <t>소개 동영상</t>
    <phoneticPr fontId="16" type="noConversion"/>
  </si>
  <si>
    <t>https://vimeo.com/441201522/0c64dff02f</t>
    <phoneticPr fontId="16" type="noConversion"/>
  </si>
  <si>
    <t>GS건설 (예정)</t>
    <phoneticPr fontId="16" type="noConversion"/>
  </si>
  <si>
    <t>가칭 IFC자이더스카이</t>
    <phoneticPr fontId="16" type="noConversion"/>
  </si>
  <si>
    <t>용호3주택재개발정비구역</t>
    <phoneticPr fontId="16" type="noConversion"/>
  </si>
  <si>
    <t>온천4구역 주택재개발</t>
    <phoneticPr fontId="16" type="noConversion"/>
  </si>
  <si>
    <t>세
대
구
성</t>
    <phoneticPr fontId="16" type="noConversion"/>
  </si>
  <si>
    <t>가칭 양정롯데캐슬</t>
    <phoneticPr fontId="16" type="noConversion"/>
  </si>
  <si>
    <t>양정3주택재개발정비구역</t>
    <phoneticPr fontId="16" type="noConversion"/>
  </si>
  <si>
    <t>양정2주택재개발정비구역</t>
    <phoneticPr fontId="16" type="noConversion"/>
  </si>
  <si>
    <t>2019년</t>
    <phoneticPr fontId="16" type="noConversion"/>
  </si>
  <si>
    <t>양정1주택재개발정비구역</t>
    <phoneticPr fontId="16" type="noConversion"/>
  </si>
  <si>
    <t>부산시 금정구 서동557-16번지</t>
    <phoneticPr fontId="16" type="noConversion"/>
  </si>
  <si>
    <t>서금사재정비촉진5구역</t>
    <phoneticPr fontId="16" type="noConversion"/>
  </si>
  <si>
    <t>서금사재정비촉진A구역</t>
    <phoneticPr fontId="16" type="noConversion"/>
  </si>
  <si>
    <t>20년01월~20년03월</t>
    <phoneticPr fontId="16" type="noConversion"/>
  </si>
  <si>
    <t>부곡2구역 주택재개발정비사업</t>
    <phoneticPr fontId="16" type="noConversion"/>
  </si>
  <si>
    <t>범천4주택재개발</t>
    <phoneticPr fontId="16" type="noConversion"/>
  </si>
  <si>
    <t>19년07월~19년09월</t>
    <phoneticPr fontId="16" type="noConversion"/>
  </si>
  <si>
    <t>범천1-1구역</t>
    <phoneticPr fontId="16" type="noConversion"/>
  </si>
  <si>
    <t>중흥토건 -&gt;현대건설</t>
    <phoneticPr fontId="16" type="noConversion"/>
  </si>
  <si>
    <t>롯데견설 수의계약</t>
    <phoneticPr fontId="16" type="noConversion"/>
  </si>
  <si>
    <t>2007.05.03</t>
    <phoneticPr fontId="16" type="noConversion"/>
  </si>
  <si>
    <t>총구매평당가</t>
    <phoneticPr fontId="16" type="noConversion"/>
  </si>
  <si>
    <t>총구매평당가</t>
    <phoneticPr fontId="16" type="noConversion"/>
  </si>
  <si>
    <t>21년10월~21년12월</t>
    <phoneticPr fontId="16" type="noConversion"/>
  </si>
  <si>
    <t>21년07월~21년09월</t>
    <phoneticPr fontId="16" type="noConversion"/>
  </si>
  <si>
    <t>21년04월~21년06월</t>
    <phoneticPr fontId="16" type="noConversion"/>
  </si>
  <si>
    <t>21년01월~21년03월</t>
    <phoneticPr fontId="16" type="noConversion"/>
  </si>
  <si>
    <t>21년04월~24년06월</t>
    <phoneticPr fontId="16" type="noConversion"/>
  </si>
  <si>
    <t>21년07월~20년09월</t>
    <phoneticPr fontId="16" type="noConversion"/>
  </si>
  <si>
    <t>22년01월~21년03월</t>
    <phoneticPr fontId="16" type="noConversion"/>
  </si>
  <si>
    <t>22년04월~22년06일</t>
    <phoneticPr fontId="16" type="noConversion"/>
  </si>
  <si>
    <t>하버시티</t>
    <phoneticPr fontId="16" type="noConversion"/>
  </si>
  <si>
    <t>총구매평당가</t>
    <phoneticPr fontId="16" type="noConversion"/>
  </si>
  <si>
    <t>롯데+현산업개발</t>
    <phoneticPr fontId="16" type="noConversion"/>
  </si>
  <si>
    <t>경관심의 통과</t>
    <phoneticPr fontId="16" type="noConversion"/>
  </si>
  <si>
    <t>2020년 04월</t>
    <phoneticPr fontId="16" type="noConversion"/>
  </si>
  <si>
    <t>2021년 예상</t>
    <phoneticPr fontId="16" type="noConversion"/>
  </si>
  <si>
    <t>2023년 예상</t>
    <phoneticPr fontId="16" type="noConversion"/>
  </si>
  <si>
    <t>2024년 예상</t>
    <phoneticPr fontId="16" type="noConversion"/>
  </si>
  <si>
    <t>2025년 예상</t>
    <phoneticPr fontId="16" type="noConversion"/>
  </si>
  <si>
    <t>2026년 예상</t>
    <phoneticPr fontId="16" type="noConversion"/>
  </si>
  <si>
    <t>2030년 예상</t>
    <phoneticPr fontId="16" type="noConversion"/>
  </si>
  <si>
    <t xml:space="preserve">♦ </t>
    <phoneticPr fontId="16" type="noConversion"/>
  </si>
  <si>
    <t>♦ 뉴스테이 연계형 재개발에서 일반분양형 재개발사업으로 전환 중</t>
    <phoneticPr fontId="16" type="noConversion"/>
  </si>
  <si>
    <r>
      <rPr>
        <sz val="10"/>
        <color rgb="FF000000"/>
        <rFont val="바탕"/>
        <family val="1"/>
        <charset val="129"/>
      </rPr>
      <t>♦</t>
    </r>
    <r>
      <rPr>
        <sz val="11"/>
        <color rgb="FF000000"/>
        <rFont val="맑은 고딕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</rPr>
      <t>부산의 중심 서면 및 부산역 접근이 차량 10분 이내</t>
    </r>
    <phoneticPr fontId="16" type="noConversion"/>
  </si>
  <si>
    <t>♦ 조합원은 계약금, 중도금 없이 입주시 전액 납부 (담보 대출로 전환됨.)</t>
    <phoneticPr fontId="16" type="noConversion"/>
  </si>
  <si>
    <t>♦ 온천장역 도보 5분 거리</t>
    <phoneticPr fontId="16" type="noConversion"/>
  </si>
  <si>
    <t>♦ 70% 가까운 일반분양율과, 예상일반분양가(평당 1,500만원 대비 +평당 1,000만원 차이로 비례율이 상당폭 높아질 것으로 예상됨</t>
    <phoneticPr fontId="16" type="noConversion"/>
  </si>
  <si>
    <t xml:space="preserve">♦ 부산에서는 흔지 않은 평지에 위치하고 있어서 평지프리미엄이 있음. </t>
    <phoneticPr fontId="16" type="noConversion"/>
  </si>
  <si>
    <t>♦ 인근에 레미안장전이 위치하고 있어서 시세는 레미안장전을 추종한다.</t>
    <phoneticPr fontId="16" type="noConversion"/>
  </si>
  <si>
    <t>♦ 동래, 온천장, 부산대 상권을 도보 이용 가능함.</t>
    <phoneticPr fontId="16" type="noConversion"/>
  </si>
  <si>
    <t>-</t>
    <phoneticPr fontId="16" type="noConversion"/>
  </si>
  <si>
    <t>서면아이파크1단지</t>
  </si>
  <si>
    <t>서면아이파크1단지</t>
    <phoneticPr fontId="16" type="noConversion"/>
  </si>
  <si>
    <t>21년04월~21년06월</t>
    <phoneticPr fontId="16" type="noConversion"/>
  </si>
  <si>
    <t>21년07월~21년09월</t>
    <phoneticPr fontId="16" type="noConversion"/>
  </si>
  <si>
    <t>21년10월~21년12월</t>
    <phoneticPr fontId="16" type="noConversion"/>
  </si>
  <si>
    <t>22년01월~22년03월</t>
    <phoneticPr fontId="16" type="noConversion"/>
  </si>
  <si>
    <t>22년04월~22년06월</t>
    <phoneticPr fontId="16" type="noConversion"/>
  </si>
  <si>
    <t>22년07월~22년09월</t>
    <phoneticPr fontId="16" type="noConversion"/>
  </si>
  <si>
    <t>22년10월~22년12월</t>
    <phoneticPr fontId="16" type="noConversion"/>
  </si>
  <si>
    <t>레미안아이파크</t>
    <phoneticPr fontId="16" type="noConversion"/>
  </si>
  <si>
    <t>21년01월~21년03월</t>
    <phoneticPr fontId="16" type="noConversion"/>
  </si>
  <si>
    <t>21년03월~21년06월</t>
    <phoneticPr fontId="16" type="noConversion"/>
  </si>
  <si>
    <t>사직롯데캐슬더클래식</t>
  </si>
  <si>
    <t>사직롯데캐슬더클래식</t>
    <phoneticPr fontId="16" type="noConversion"/>
  </si>
  <si>
    <t>연산롯데캐슬골드포레</t>
  </si>
  <si>
    <t>연산롯데캐슬골드포레</t>
    <phoneticPr fontId="16" type="noConversion"/>
  </si>
  <si>
    <t>21년04월~21년05월</t>
    <phoneticPr fontId="16" type="noConversion"/>
  </si>
  <si>
    <t>21년06월~21년09월</t>
    <phoneticPr fontId="16" type="noConversion"/>
  </si>
  <si>
    <t>힐스테이트사하역</t>
  </si>
  <si>
    <t>힐스테이트사하역</t>
    <phoneticPr fontId="16" type="noConversion"/>
  </si>
  <si>
    <r>
      <rPr>
        <sz val="10"/>
        <color rgb="FF000000"/>
        <rFont val="바탕"/>
        <family val="1"/>
        <charset val="129"/>
      </rPr>
      <t>♦</t>
    </r>
    <r>
      <rPr>
        <sz val="11"/>
        <color rgb="FF000000"/>
        <rFont val="맑은 고딕"/>
        <family val="3"/>
        <charset val="129"/>
      </rPr>
      <t xml:space="preserve"> </t>
    </r>
    <r>
      <rPr>
        <sz val="10"/>
        <color rgb="FF000000"/>
        <rFont val="맑은 고딕"/>
        <family val="3"/>
        <charset val="129"/>
      </rPr>
      <t>부경대역 &lt;-&gt;용호동 어귀삼거리 트램 실증노선 신설됨. (2021년 착공 예정, 2023년 완공 예정)</t>
    </r>
    <phoneticPr fontId="16" type="noConversion"/>
  </si>
  <si>
    <t>비고</t>
    <phoneticPr fontId="16" type="noConversion"/>
  </si>
  <si>
    <t>광안자이</t>
  </si>
  <si>
    <t>광안자이</t>
    <phoneticPr fontId="16" type="noConversion"/>
  </si>
  <si>
    <t>서면롯데캐슬엘루체</t>
  </si>
  <si>
    <t>서면롯데캐슬엘루체</t>
    <phoneticPr fontId="16" type="noConversion"/>
  </si>
  <si>
    <t>현재 인근평당시세</t>
    <phoneticPr fontId="16" type="noConversion"/>
  </si>
  <si>
    <t>레미안아반파크</t>
    <phoneticPr fontId="16" type="noConversion"/>
  </si>
  <si>
    <t>이편한세상부산항</t>
  </si>
  <si>
    <t>이편한세상부산항</t>
    <phoneticPr fontId="16" type="noConversion"/>
  </si>
  <si>
    <t>-</t>
    <phoneticPr fontId="16" type="noConversion"/>
  </si>
  <si>
    <t>총구매평당가</t>
    <phoneticPr fontId="16" type="noConversion"/>
  </si>
  <si>
    <r>
      <rPr>
        <b/>
        <sz val="9"/>
        <rFont val="맑은 고딕"/>
        <family val="3"/>
        <charset val="129"/>
      </rPr>
      <t xml:space="preserve"> (예상)매매프리미엄</t>
    </r>
    <r>
      <rPr>
        <b/>
        <sz val="10"/>
        <rFont val="맑은 고딕"/>
        <family val="3"/>
        <charset val="129"/>
      </rPr>
      <t xml:space="preserve">
</t>
    </r>
    <r>
      <rPr>
        <b/>
        <sz val="9"/>
        <color rgb="FFFF0000"/>
        <rFont val="맑은 고딕"/>
        <family val="3"/>
        <charset val="129"/>
      </rPr>
      <t>(가감정가 기준)</t>
    </r>
    <phoneticPr fontId="16" type="noConversion"/>
  </si>
  <si>
    <t>레미안장전</t>
    <phoneticPr fontId="16" type="noConversion"/>
  </si>
  <si>
    <t>총구매평당다</t>
    <phoneticPr fontId="16" type="noConversion"/>
  </si>
  <si>
    <t>22년01월~22년03월</t>
    <phoneticPr fontId="16" type="noConversion"/>
  </si>
  <si>
    <t>22년04월~22년06월</t>
    <phoneticPr fontId="16" type="noConversion"/>
  </si>
  <si>
    <t>22년07월~22년09월</t>
    <phoneticPr fontId="16" type="noConversion"/>
  </si>
  <si>
    <t>22년10월~22년12월</t>
    <phoneticPr fontId="16" type="noConversion"/>
  </si>
  <si>
    <t>PPR (Premium to price Ratio)
(100%일 때 적정)
(100% 이상 : 과평가
(100% 이하 : 저평가)</t>
    <phoneticPr fontId="16" type="noConversion"/>
  </si>
  <si>
    <t>PPR (Premium to price Ratio)
(100%일 때 적정)
(100% 이상 : 과평가
(100% 이하 : 저평가)</t>
    <phoneticPr fontId="16" type="noConversion"/>
  </si>
  <si>
    <t>PPR (Premium to price Ratio)
(100%일 때 적정)
(100% 이상 : 과평가
(100% 이하 : 저평가)</t>
    <phoneticPr fontId="16" type="noConversion"/>
  </si>
  <si>
    <t>PPR (Premium to price Ratio)
(100%일 때 적정)
(100% 이상 : 과평가
(100% 이하 : 저평가)</t>
    <phoneticPr fontId="16" type="noConversion"/>
  </si>
  <si>
    <t>롯데개슬골드아너</t>
    <phoneticPr fontId="16" type="noConversion"/>
  </si>
  <si>
    <t>진행단계</t>
  </si>
  <si>
    <t>비교단지</t>
  </si>
  <si>
    <t>감만1</t>
  </si>
  <si>
    <t>관리처분총회 전</t>
  </si>
  <si>
    <t>대연파크</t>
  </si>
  <si>
    <t>뉴스테이(관리처분총회 통과)</t>
  </si>
  <si>
    <t>우암2</t>
  </si>
  <si>
    <t>착공</t>
  </si>
  <si>
    <t>뉴스테이 (일분전환시도중)</t>
  </si>
  <si>
    <t>우암1</t>
  </si>
  <si>
    <t>일분전환총회통과</t>
  </si>
  <si>
    <t>대연3</t>
  </si>
  <si>
    <t>롯데개슬레젼드</t>
  </si>
  <si>
    <t>대연4</t>
  </si>
  <si>
    <t>일반분양 준비</t>
  </si>
  <si>
    <t>대연8</t>
  </si>
  <si>
    <t>조합설립인가신청</t>
  </si>
  <si>
    <t>복산1</t>
  </si>
  <si>
    <t>사업시행인가신청 준비</t>
  </si>
  <si>
    <t>우동3</t>
  </si>
  <si>
    <t>사업시행인가신청 완료</t>
  </si>
  <si>
    <t>해센푸</t>
  </si>
  <si>
    <t>광안2</t>
  </si>
  <si>
    <t>서금사A</t>
  </si>
  <si>
    <t>서금사5</t>
  </si>
  <si>
    <t>일반분양률 낮음</t>
  </si>
  <si>
    <t>온천4</t>
  </si>
  <si>
    <t>일반분양준비</t>
  </si>
  <si>
    <t>온천2구역(동래아)</t>
  </si>
  <si>
    <t>양정1</t>
  </si>
  <si>
    <t>양정2</t>
  </si>
  <si>
    <t>양정3</t>
  </si>
  <si>
    <t>관리처준변경총회</t>
  </si>
  <si>
    <t>조합원분양가 조정 완료</t>
  </si>
  <si>
    <t>거제2</t>
  </si>
  <si>
    <t>일반분양완료</t>
  </si>
  <si>
    <t>촉진3</t>
  </si>
  <si>
    <t>특별건축구역지정 준비</t>
  </si>
  <si>
    <t>가야1</t>
  </si>
  <si>
    <t>가야3구역(롯데개슬골드아너)</t>
  </si>
  <si>
    <t>범천4</t>
  </si>
  <si>
    <t>정비기지창 이전 예타 통과</t>
  </si>
  <si>
    <t>범천1-1</t>
  </si>
  <si>
    <t>철거준비단계</t>
  </si>
  <si>
    <t>시공사변경 완료(현건)</t>
  </si>
  <si>
    <t>문현1</t>
  </si>
  <si>
    <t>시공사선정 준비</t>
  </si>
  <si>
    <t>문현3</t>
  </si>
  <si>
    <t>사업시행인가고시 전</t>
  </si>
  <si>
    <t>조합장 변경, 사시 준비 중</t>
  </si>
  <si>
    <t>좌범2</t>
  </si>
  <si>
    <t>조합설립단계</t>
  </si>
  <si>
    <t>두산위브더제니스하버시티</t>
  </si>
  <si>
    <t>시공사 재선정 준비</t>
  </si>
  <si>
    <t>초량2</t>
  </si>
  <si>
    <t>특별건축구역지정완료</t>
  </si>
  <si>
    <t>초량3</t>
  </si>
  <si>
    <t>사업시행인가 준비</t>
  </si>
  <si>
    <t>괴정5</t>
  </si>
  <si>
    <t>엄궁3</t>
  </si>
  <si>
    <t>롯데캐슬리버</t>
  </si>
  <si>
    <t>부곡2</t>
  </si>
  <si>
    <t>조합설립인가취소(상고 예정)</t>
  </si>
  <si>
    <t>범일2</t>
  </si>
  <si>
    <t>망미2</t>
  </si>
  <si>
    <t>수영SK뷰</t>
  </si>
  <si>
    <t>용호2</t>
  </si>
  <si>
    <t>감천2</t>
  </si>
  <si>
    <t>일분으로 전향 완(힐스테이트)</t>
  </si>
  <si>
    <t>영도5</t>
  </si>
  <si>
    <r>
      <rPr>
        <sz val="10"/>
        <color rgb="FF000000"/>
        <rFont val="돋움"/>
        <family val="3"/>
        <charset val="129"/>
      </rPr>
      <t>지정문화제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돋움"/>
        <family val="3"/>
        <charset val="129"/>
      </rPr>
      <t>변경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돋움"/>
        <family val="3"/>
        <charset val="129"/>
      </rPr>
      <t>허가</t>
    </r>
    <r>
      <rPr>
        <sz val="10"/>
        <color rgb="FF000000"/>
        <rFont val="Arial"/>
        <family val="2"/>
      </rPr>
      <t/>
    </r>
    <phoneticPr fontId="16" type="noConversion"/>
  </si>
  <si>
    <r>
      <rPr>
        <sz val="10"/>
        <color rgb="FF000000"/>
        <rFont val="돋움"/>
        <family val="3"/>
        <charset val="129"/>
      </rPr>
      <t>조합장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돋움"/>
        <family val="3"/>
        <charset val="129"/>
      </rPr>
      <t>해임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돋움"/>
        <family val="3"/>
        <charset val="129"/>
      </rPr>
      <t>총회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돋움"/>
        <family val="3"/>
        <charset val="129"/>
      </rPr>
      <t>시도</t>
    </r>
    <phoneticPr fontId="16" type="noConversion"/>
  </si>
  <si>
    <r>
      <rPr>
        <sz val="10"/>
        <color rgb="FF000000"/>
        <rFont val="돋움"/>
        <family val="3"/>
        <charset val="129"/>
      </rPr>
      <t>시공사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돋움"/>
        <family val="3"/>
        <charset val="129"/>
      </rPr>
      <t>선정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돋움"/>
        <family val="3"/>
        <charset val="129"/>
      </rPr>
      <t>준비</t>
    </r>
    <phoneticPr fontId="16" type="noConversion"/>
  </si>
  <si>
    <r>
      <rPr>
        <b/>
        <sz val="12"/>
        <color theme="0"/>
        <rFont val="돋움"/>
        <family val="3"/>
        <charset val="129"/>
      </rPr>
      <t>현재</t>
    </r>
    <r>
      <rPr>
        <b/>
        <sz val="12"/>
        <color theme="0"/>
        <rFont val="Arial"/>
        <family val="2"/>
      </rPr>
      <t xml:space="preserve"> </t>
    </r>
    <r>
      <rPr>
        <b/>
        <sz val="12"/>
        <color theme="0"/>
        <rFont val="돋움"/>
        <family val="3"/>
        <charset val="129"/>
      </rPr>
      <t>인근</t>
    </r>
    <r>
      <rPr>
        <b/>
        <sz val="12"/>
        <color theme="0"/>
        <rFont val="Arial"/>
        <family val="2"/>
      </rPr>
      <t xml:space="preserve"> </t>
    </r>
    <r>
      <rPr>
        <b/>
        <sz val="12"/>
        <color theme="0"/>
        <rFont val="돋움"/>
        <family val="3"/>
        <charset val="129"/>
      </rPr>
      <t>평당가</t>
    </r>
    <r>
      <rPr>
        <b/>
        <sz val="12"/>
        <color theme="0"/>
        <rFont val="Arial"/>
        <family val="2"/>
      </rPr>
      <t xml:space="preserve"> </t>
    </r>
    <r>
      <rPr>
        <b/>
        <sz val="12"/>
        <color theme="0"/>
        <rFont val="돋움"/>
        <family val="3"/>
        <charset val="129"/>
      </rPr>
      <t xml:space="preserve">
</t>
    </r>
    <r>
      <rPr>
        <b/>
        <sz val="12"/>
        <color theme="0"/>
        <rFont val="Arial"/>
        <family val="2"/>
      </rPr>
      <t>(34</t>
    </r>
    <r>
      <rPr>
        <b/>
        <sz val="12"/>
        <color theme="0"/>
        <rFont val="돋움"/>
        <family val="3"/>
        <charset val="129"/>
      </rPr>
      <t>평기준</t>
    </r>
    <r>
      <rPr>
        <b/>
        <sz val="12"/>
        <color theme="0"/>
        <rFont val="Arial"/>
        <family val="2"/>
      </rPr>
      <t>)</t>
    </r>
    <phoneticPr fontId="16" type="noConversion"/>
  </si>
  <si>
    <r>
      <t>(</t>
    </r>
    <r>
      <rPr>
        <b/>
        <sz val="12"/>
        <color theme="0"/>
        <rFont val="돋움"/>
        <family val="3"/>
        <charset val="129"/>
      </rPr>
      <t>예상</t>
    </r>
    <r>
      <rPr>
        <b/>
        <sz val="12"/>
        <color theme="0"/>
        <rFont val="Arial"/>
        <family val="2"/>
      </rPr>
      <t>)</t>
    </r>
    <r>
      <rPr>
        <b/>
        <sz val="12"/>
        <color theme="0"/>
        <rFont val="돋움"/>
        <family val="3"/>
        <charset val="129"/>
      </rPr>
      <t>현재</t>
    </r>
    <r>
      <rPr>
        <b/>
        <sz val="12"/>
        <color theme="0"/>
        <rFont val="Arial"/>
        <family val="2"/>
      </rPr>
      <t xml:space="preserve"> </t>
    </r>
    <r>
      <rPr>
        <b/>
        <sz val="12"/>
        <color theme="0"/>
        <rFont val="돋움"/>
        <family val="3"/>
        <charset val="129"/>
      </rPr>
      <t>프리미엄</t>
    </r>
    <r>
      <rPr>
        <b/>
        <sz val="12"/>
        <color theme="0"/>
        <rFont val="Arial"/>
        <family val="2"/>
      </rPr>
      <t xml:space="preserve">
(34</t>
    </r>
    <r>
      <rPr>
        <b/>
        <sz val="12"/>
        <color theme="0"/>
        <rFont val="돋움"/>
        <family val="3"/>
        <charset val="129"/>
      </rPr>
      <t>평</t>
    </r>
    <r>
      <rPr>
        <b/>
        <sz val="12"/>
        <color theme="0"/>
        <rFont val="Arial"/>
        <family val="2"/>
      </rPr>
      <t xml:space="preserve"> </t>
    </r>
    <r>
      <rPr>
        <b/>
        <sz val="12"/>
        <color theme="0"/>
        <rFont val="돋움"/>
        <family val="3"/>
        <charset val="129"/>
      </rPr>
      <t>기준</t>
    </r>
    <r>
      <rPr>
        <b/>
        <sz val="12"/>
        <color theme="0"/>
        <rFont val="Arial"/>
        <family val="2"/>
      </rPr>
      <t>)</t>
    </r>
    <phoneticPr fontId="16" type="noConversion"/>
  </si>
  <si>
    <r>
      <rPr>
        <b/>
        <sz val="12"/>
        <color theme="0"/>
        <rFont val="돋움"/>
        <family val="3"/>
        <charset val="129"/>
      </rPr>
      <t>현재</t>
    </r>
    <r>
      <rPr>
        <b/>
        <sz val="12"/>
        <color theme="0"/>
        <rFont val="Arial"/>
        <family val="2"/>
      </rPr>
      <t xml:space="preserve"> </t>
    </r>
    <r>
      <rPr>
        <b/>
        <sz val="12"/>
        <color theme="0"/>
        <rFont val="돋움"/>
        <family val="3"/>
        <charset val="129"/>
      </rPr>
      <t>입주권</t>
    </r>
    <r>
      <rPr>
        <b/>
        <sz val="12"/>
        <color theme="0"/>
        <rFont val="Arial"/>
        <family val="2"/>
      </rPr>
      <t xml:space="preserve"> </t>
    </r>
    <r>
      <rPr>
        <b/>
        <sz val="12"/>
        <color theme="0"/>
        <rFont val="돋움"/>
        <family val="3"/>
        <charset val="129"/>
      </rPr>
      <t xml:space="preserve">평당가
</t>
    </r>
    <r>
      <rPr>
        <b/>
        <sz val="12"/>
        <color theme="0"/>
        <rFont val="Arial"/>
        <family val="2"/>
      </rPr>
      <t xml:space="preserve">(-) </t>
    </r>
    <r>
      <rPr>
        <b/>
        <sz val="12"/>
        <color theme="0"/>
        <rFont val="돋움"/>
        <family val="3"/>
        <charset val="129"/>
      </rPr>
      <t>현재</t>
    </r>
    <r>
      <rPr>
        <b/>
        <sz val="12"/>
        <color theme="0"/>
        <rFont val="Arial"/>
        <family val="2"/>
      </rPr>
      <t xml:space="preserve"> </t>
    </r>
    <r>
      <rPr>
        <b/>
        <sz val="12"/>
        <color theme="0"/>
        <rFont val="돋움"/>
        <family val="3"/>
        <charset val="129"/>
      </rPr>
      <t>인근</t>
    </r>
    <r>
      <rPr>
        <b/>
        <sz val="12"/>
        <color theme="0"/>
        <rFont val="Arial"/>
        <family val="2"/>
      </rPr>
      <t xml:space="preserve"> </t>
    </r>
    <r>
      <rPr>
        <b/>
        <sz val="12"/>
        <color theme="0"/>
        <rFont val="돋움"/>
        <family val="3"/>
        <charset val="129"/>
      </rPr>
      <t>평당가</t>
    </r>
    <r>
      <rPr>
        <b/>
        <sz val="12"/>
        <color theme="0"/>
        <rFont val="Arial"/>
        <family val="2"/>
      </rPr>
      <t xml:space="preserve"> </t>
    </r>
    <phoneticPr fontId="16" type="noConversion"/>
  </si>
  <si>
    <t>망미2구역</t>
    <phoneticPr fontId="16" type="noConversion"/>
  </si>
  <si>
    <t>망미2주택재개발</t>
    <phoneticPr fontId="16" type="noConversion"/>
  </si>
  <si>
    <t>부산시 수영구 망미동 800지 일원</t>
    <phoneticPr fontId="16" type="noConversion"/>
  </si>
  <si>
    <t>지하3층, 지상 최고 35층</t>
    <phoneticPr fontId="16" type="noConversion"/>
  </si>
  <si>
    <t>대림건설</t>
    <phoneticPr fontId="16" type="noConversion"/>
  </si>
  <si>
    <t>미정</t>
    <phoneticPr fontId="16" type="noConversion"/>
  </si>
  <si>
    <t>2007.02.14</t>
    <phoneticPr fontId="16" type="noConversion"/>
  </si>
  <si>
    <t>2006.06.07</t>
    <phoneticPr fontId="16" type="noConversion"/>
  </si>
  <si>
    <t>2007.06.29</t>
    <phoneticPr fontId="16" type="noConversion"/>
  </si>
  <si>
    <t>2008.11.28</t>
    <phoneticPr fontId="16" type="noConversion"/>
  </si>
  <si>
    <t>소송중</t>
    <phoneticPr fontId="16" type="noConversion"/>
  </si>
  <si>
    <t>39㎡</t>
    <phoneticPr fontId="16" type="noConversion"/>
  </si>
  <si>
    <r>
      <t>59</t>
    </r>
    <r>
      <rPr>
        <b/>
        <sz val="10"/>
        <color rgb="FF000000"/>
        <rFont val="굴림"/>
        <family val="3"/>
        <charset val="129"/>
      </rPr>
      <t>㎡</t>
    </r>
    <phoneticPr fontId="16" type="noConversion"/>
  </si>
  <si>
    <r>
      <t>74</t>
    </r>
    <r>
      <rPr>
        <b/>
        <sz val="10"/>
        <color rgb="FF000000"/>
        <rFont val="굴림"/>
        <family val="3"/>
        <charset val="129"/>
      </rPr>
      <t>㎡</t>
    </r>
    <phoneticPr fontId="16" type="noConversion"/>
  </si>
  <si>
    <r>
      <t>84A</t>
    </r>
    <r>
      <rPr>
        <b/>
        <sz val="10"/>
        <color rgb="FF000000"/>
        <rFont val="굴림"/>
        <family val="3"/>
        <charset val="129"/>
      </rPr>
      <t>㎡</t>
    </r>
    <phoneticPr fontId="16" type="noConversion"/>
  </si>
  <si>
    <r>
      <t>84B</t>
    </r>
    <r>
      <rPr>
        <b/>
        <sz val="10"/>
        <color rgb="FF000000"/>
        <rFont val="굴림"/>
        <family val="3"/>
        <charset val="129"/>
      </rPr>
      <t>㎡</t>
    </r>
    <phoneticPr fontId="16" type="noConversion"/>
  </si>
  <si>
    <r>
      <t>84C</t>
    </r>
    <r>
      <rPr>
        <b/>
        <sz val="10"/>
        <color rgb="FF000000"/>
        <rFont val="굴림"/>
        <family val="3"/>
        <charset val="129"/>
      </rPr>
      <t>㎡</t>
    </r>
    <phoneticPr fontId="16" type="noConversion"/>
  </si>
  <si>
    <t>99㎡</t>
    <phoneticPr fontId="16" type="noConversion"/>
  </si>
  <si>
    <t>112㎡</t>
    <phoneticPr fontId="16" type="noConversion"/>
  </si>
  <si>
    <t>임대</t>
    <phoneticPr fontId="16" type="noConversion"/>
  </si>
  <si>
    <t>수영SK뷰</t>
    <phoneticPr fontId="16" type="noConversion"/>
  </si>
  <si>
    <t>PPR (Premium to price Ratio)
(100%일 때 적정)
(100% 이상 : 과평가
(100% 이하 : 저평가)</t>
    <phoneticPr fontId="16" type="noConversion"/>
  </si>
  <si>
    <t>감천2구역</t>
    <phoneticPr fontId="16" type="noConversion"/>
  </si>
  <si>
    <t>감천2주택재개발정비구역</t>
    <phoneticPr fontId="16" type="noConversion"/>
  </si>
  <si>
    <t>제3종일반주거지역</t>
    <phoneticPr fontId="16" type="noConversion"/>
  </si>
  <si>
    <t>지하4층 / 지상36층</t>
    <phoneticPr fontId="16" type="noConversion"/>
  </si>
  <si>
    <t>사하구 감천1동 202번지 일원</t>
    <phoneticPr fontId="16" type="noConversion"/>
  </si>
  <si>
    <t>2006.08.11</t>
    <phoneticPr fontId="16" type="noConversion"/>
  </si>
  <si>
    <t>2007.05.16</t>
    <phoneticPr fontId="16" type="noConversion"/>
  </si>
  <si>
    <t>2022년 예정</t>
    <phoneticPr fontId="16" type="noConversion"/>
  </si>
  <si>
    <t>2023년 예정</t>
    <phoneticPr fontId="16" type="noConversion"/>
  </si>
  <si>
    <t>2024년 예정</t>
    <phoneticPr fontId="16" type="noConversion"/>
  </si>
  <si>
    <t>2025년 예정</t>
    <phoneticPr fontId="16" type="noConversion"/>
  </si>
  <si>
    <t>2028년 예정</t>
    <phoneticPr fontId="16" type="noConversion"/>
  </si>
  <si>
    <t>49</t>
    <phoneticPr fontId="16" type="noConversion"/>
  </si>
  <si>
    <t>59</t>
    <phoneticPr fontId="16" type="noConversion"/>
  </si>
  <si>
    <t>84A</t>
    <phoneticPr fontId="16" type="noConversion"/>
  </si>
  <si>
    <t>84B</t>
    <phoneticPr fontId="16" type="noConversion"/>
  </si>
  <si>
    <t>84C</t>
    <phoneticPr fontId="16" type="noConversion"/>
  </si>
  <si>
    <t>98</t>
    <phoneticPr fontId="16" type="noConversion"/>
  </si>
  <si>
    <t>114</t>
    <phoneticPr fontId="16" type="noConversion"/>
  </si>
  <si>
    <t>160</t>
    <phoneticPr fontId="16" type="noConversion"/>
  </si>
  <si>
    <r>
      <rPr>
        <sz val="12"/>
        <color rgb="FF000000"/>
        <rFont val="돋움"/>
        <family val="3"/>
        <charset val="129"/>
      </rPr>
      <t>이편한세상사하</t>
    </r>
    <r>
      <rPr>
        <sz val="12"/>
        <color rgb="FF000000"/>
        <rFont val="Arial"/>
        <family val="2"/>
      </rPr>
      <t>2</t>
    </r>
    <r>
      <rPr>
        <sz val="12"/>
        <color rgb="FF000000"/>
        <rFont val="돋움"/>
        <family val="3"/>
        <charset val="129"/>
      </rPr>
      <t>차</t>
    </r>
    <phoneticPr fontId="16" type="noConversion"/>
  </si>
  <si>
    <t>이편한세상사하2차</t>
    <phoneticPr fontId="16" type="noConversion"/>
  </si>
  <si>
    <t>가칭 힐스테이트 오션스카이</t>
    <phoneticPr fontId="16" type="noConversion"/>
  </si>
  <si>
    <t>시공사 변겅</t>
    <phoneticPr fontId="16" type="noConversion"/>
  </si>
  <si>
    <t>2019.12.21</t>
    <phoneticPr fontId="16" type="noConversion"/>
  </si>
  <si>
    <t>현대건설(일반분양형)</t>
    <phoneticPr fontId="16" type="noConversion"/>
  </si>
  <si>
    <t xml:space="preserve">시
세
T
R
E
N
D
</t>
    <phoneticPr fontId="16" type="noConversion"/>
  </si>
  <si>
    <t>영도5구역</t>
    <phoneticPr fontId="16" type="noConversion"/>
  </si>
  <si>
    <t>현대건설 + 현대엔지니어링</t>
    <phoneticPr fontId="16" type="noConversion"/>
  </si>
  <si>
    <t>영도구 신선동3가 89-21번지 일원</t>
    <phoneticPr fontId="16" type="noConversion"/>
  </si>
  <si>
    <t>2013.12.11</t>
    <phoneticPr fontId="16" type="noConversion"/>
  </si>
  <si>
    <t>2018.02.27</t>
    <phoneticPr fontId="16" type="noConversion"/>
  </si>
  <si>
    <t>영도1재정비촉진5구역</t>
    <phoneticPr fontId="16" type="noConversion"/>
  </si>
  <si>
    <t>(임대 세대 포함)</t>
    <phoneticPr fontId="16" type="noConversion"/>
  </si>
  <si>
    <t>2021년 예정</t>
    <phoneticPr fontId="16" type="noConversion"/>
  </si>
  <si>
    <t>2026년 예정</t>
    <phoneticPr fontId="16" type="noConversion"/>
  </si>
  <si>
    <t>2030년 예정</t>
    <phoneticPr fontId="16" type="noConversion"/>
  </si>
  <si>
    <t>동삼동오션시티푸르지오</t>
    <phoneticPr fontId="16" type="noConversion"/>
  </si>
  <si>
    <t>동삼동오션시티푸르지오</t>
    <phoneticPr fontId="16" type="noConversion"/>
  </si>
  <si>
    <r>
      <t>PPR
(Premium to Price Ratio)
(100%</t>
    </r>
    <r>
      <rPr>
        <b/>
        <sz val="12"/>
        <color theme="0"/>
        <rFont val="돋움"/>
        <family val="3"/>
        <charset val="129"/>
      </rPr>
      <t>일</t>
    </r>
    <r>
      <rPr>
        <b/>
        <sz val="12"/>
        <color theme="0"/>
        <rFont val="Arial"/>
        <family val="2"/>
      </rPr>
      <t xml:space="preserve"> </t>
    </r>
    <r>
      <rPr>
        <b/>
        <sz val="12"/>
        <color theme="0"/>
        <rFont val="돋움"/>
        <family val="3"/>
        <charset val="129"/>
      </rPr>
      <t>때</t>
    </r>
    <r>
      <rPr>
        <b/>
        <sz val="12"/>
        <color theme="0"/>
        <rFont val="Arial"/>
        <family val="2"/>
      </rPr>
      <t xml:space="preserve"> </t>
    </r>
    <r>
      <rPr>
        <b/>
        <sz val="12"/>
        <color theme="0"/>
        <rFont val="돋움"/>
        <family val="3"/>
        <charset val="129"/>
      </rPr>
      <t>적정</t>
    </r>
    <r>
      <rPr>
        <b/>
        <sz val="12"/>
        <color theme="0"/>
        <rFont val="Arial"/>
        <family val="2"/>
      </rPr>
      <t>)
(</t>
    </r>
    <r>
      <rPr>
        <b/>
        <sz val="12"/>
        <color rgb="FFFF0000"/>
        <rFont val="Arial"/>
        <family val="2"/>
      </rPr>
      <t xml:space="preserve">100% </t>
    </r>
    <r>
      <rPr>
        <b/>
        <sz val="12"/>
        <color rgb="FFFF0000"/>
        <rFont val="돋움"/>
        <family val="3"/>
        <charset val="129"/>
      </rPr>
      <t>이상</t>
    </r>
    <r>
      <rPr>
        <b/>
        <sz val="12"/>
        <color rgb="FFFF0000"/>
        <rFont val="Arial"/>
        <family val="2"/>
      </rPr>
      <t xml:space="preserve"> : </t>
    </r>
    <r>
      <rPr>
        <b/>
        <sz val="12"/>
        <color rgb="FFFF0000"/>
        <rFont val="돋움"/>
        <family val="3"/>
        <charset val="129"/>
      </rPr>
      <t>과평가</t>
    </r>
    <r>
      <rPr>
        <b/>
        <sz val="12"/>
        <color theme="0"/>
        <rFont val="돋움"/>
        <family val="3"/>
        <charset val="129"/>
      </rPr>
      <t xml:space="preserve">
</t>
    </r>
    <r>
      <rPr>
        <b/>
        <sz val="12"/>
        <color theme="0"/>
        <rFont val="Arial"/>
        <family val="2"/>
      </rPr>
      <t>(</t>
    </r>
    <r>
      <rPr>
        <b/>
        <sz val="12"/>
        <color rgb="FF0000CC"/>
        <rFont val="Arial"/>
        <family val="2"/>
      </rPr>
      <t xml:space="preserve">100% </t>
    </r>
    <r>
      <rPr>
        <b/>
        <sz val="12"/>
        <color rgb="FF0000CC"/>
        <rFont val="돋움"/>
        <family val="3"/>
        <charset val="129"/>
      </rPr>
      <t>이하</t>
    </r>
    <r>
      <rPr>
        <b/>
        <sz val="12"/>
        <color rgb="FF0000CC"/>
        <rFont val="Arial"/>
        <family val="2"/>
      </rPr>
      <t xml:space="preserve"> : </t>
    </r>
    <r>
      <rPr>
        <b/>
        <sz val="12"/>
        <color rgb="FF0000CC"/>
        <rFont val="돋움"/>
        <family val="3"/>
        <charset val="129"/>
      </rPr>
      <t>저평가</t>
    </r>
    <r>
      <rPr>
        <b/>
        <sz val="12"/>
        <color theme="0"/>
        <rFont val="Arial"/>
        <family val="2"/>
      </rPr>
      <t>)</t>
    </r>
    <phoneticPr fontId="16" type="noConversion"/>
  </si>
  <si>
    <r>
      <t>(</t>
    </r>
    <r>
      <rPr>
        <b/>
        <sz val="12"/>
        <color theme="0"/>
        <rFont val="돋움"/>
        <family val="3"/>
        <charset val="129"/>
      </rPr>
      <t>예상</t>
    </r>
    <r>
      <rPr>
        <b/>
        <sz val="12"/>
        <color theme="0"/>
        <rFont val="Arial"/>
        <family val="2"/>
      </rPr>
      <t>)</t>
    </r>
    <r>
      <rPr>
        <b/>
        <sz val="12"/>
        <color theme="0"/>
        <rFont val="돋움"/>
        <family val="3"/>
        <charset val="129"/>
      </rPr>
      <t>평당</t>
    </r>
    <r>
      <rPr>
        <b/>
        <sz val="12"/>
        <color theme="0"/>
        <rFont val="Arial"/>
        <family val="2"/>
      </rPr>
      <t xml:space="preserve"> </t>
    </r>
    <r>
      <rPr>
        <b/>
        <sz val="12"/>
        <color theme="0"/>
        <rFont val="돋움"/>
        <family val="3"/>
        <charset val="129"/>
      </rPr>
      <t xml:space="preserve">조합원분양가
</t>
    </r>
    <r>
      <rPr>
        <b/>
        <sz val="12"/>
        <color theme="0"/>
        <rFont val="Arial"/>
        <family val="2"/>
      </rPr>
      <t>(34</t>
    </r>
    <r>
      <rPr>
        <b/>
        <sz val="12"/>
        <color theme="0"/>
        <rFont val="돋움"/>
        <family val="3"/>
        <charset val="129"/>
      </rPr>
      <t>평기준</t>
    </r>
    <r>
      <rPr>
        <b/>
        <sz val="12"/>
        <color theme="0"/>
        <rFont val="Arial"/>
        <family val="2"/>
      </rPr>
      <t>)
(</t>
    </r>
    <r>
      <rPr>
        <b/>
        <sz val="12"/>
        <color theme="0"/>
        <rFont val="돋움"/>
        <family val="3"/>
        <charset val="129"/>
      </rPr>
      <t>확정가격</t>
    </r>
    <r>
      <rPr>
        <b/>
        <sz val="12"/>
        <color theme="0"/>
        <rFont val="Arial"/>
        <family val="2"/>
      </rPr>
      <t xml:space="preserve"> </t>
    </r>
    <r>
      <rPr>
        <b/>
        <sz val="12"/>
        <color theme="0"/>
        <rFont val="돋움"/>
        <family val="3"/>
        <charset val="129"/>
      </rPr>
      <t>또는</t>
    </r>
    <r>
      <rPr>
        <b/>
        <sz val="12"/>
        <color theme="0"/>
        <rFont val="Arial"/>
        <family val="2"/>
      </rPr>
      <t xml:space="preserve"> </t>
    </r>
    <r>
      <rPr>
        <b/>
        <sz val="12"/>
        <color theme="0"/>
        <rFont val="돋움"/>
        <family val="3"/>
        <charset val="129"/>
      </rPr>
      <t>조합의</t>
    </r>
    <r>
      <rPr>
        <b/>
        <sz val="12"/>
        <color theme="0"/>
        <rFont val="Arial"/>
        <family val="2"/>
      </rPr>
      <t xml:space="preserve"> </t>
    </r>
    <r>
      <rPr>
        <b/>
        <sz val="12"/>
        <color theme="0"/>
        <rFont val="돋움"/>
        <family val="3"/>
        <charset val="129"/>
      </rPr>
      <t>제시가격</t>
    </r>
    <r>
      <rPr>
        <b/>
        <sz val="12"/>
        <color theme="0"/>
        <rFont val="Arial"/>
        <family val="2"/>
      </rPr>
      <t xml:space="preserve"> </t>
    </r>
    <r>
      <rPr>
        <b/>
        <sz val="12"/>
        <color theme="0"/>
        <rFont val="돋움"/>
        <family val="3"/>
        <charset val="129"/>
      </rPr>
      <t>또는</t>
    </r>
    <r>
      <rPr>
        <b/>
        <sz val="12"/>
        <color theme="0"/>
        <rFont val="Arial"/>
        <family val="2"/>
      </rPr>
      <t xml:space="preserve"> </t>
    </r>
    <r>
      <rPr>
        <b/>
        <sz val="12"/>
        <color theme="0"/>
        <rFont val="돋움"/>
        <family val="3"/>
        <charset val="129"/>
      </rPr>
      <t>인근</t>
    </r>
    <r>
      <rPr>
        <b/>
        <sz val="12"/>
        <color theme="0"/>
        <rFont val="Arial"/>
        <family val="2"/>
      </rPr>
      <t xml:space="preserve"> </t>
    </r>
    <r>
      <rPr>
        <b/>
        <sz val="12"/>
        <color theme="0"/>
        <rFont val="돋움"/>
        <family val="3"/>
        <charset val="129"/>
      </rPr>
      <t>비교</t>
    </r>
    <r>
      <rPr>
        <b/>
        <sz val="12"/>
        <color theme="0"/>
        <rFont val="Arial"/>
        <family val="2"/>
      </rPr>
      <t xml:space="preserve"> </t>
    </r>
    <r>
      <rPr>
        <b/>
        <sz val="12"/>
        <color theme="0"/>
        <rFont val="돋움"/>
        <family val="3"/>
        <charset val="129"/>
      </rPr>
      <t>신축</t>
    </r>
    <r>
      <rPr>
        <b/>
        <sz val="12"/>
        <color theme="0"/>
        <rFont val="Arial"/>
        <family val="2"/>
      </rPr>
      <t xml:space="preserve"> </t>
    </r>
    <r>
      <rPr>
        <b/>
        <sz val="12"/>
        <color theme="0"/>
        <rFont val="돋움"/>
        <family val="3"/>
        <charset val="129"/>
      </rPr>
      <t>대비</t>
    </r>
    <r>
      <rPr>
        <b/>
        <sz val="12"/>
        <color theme="0"/>
        <rFont val="Arial"/>
        <family val="2"/>
      </rPr>
      <t xml:space="preserve"> 70%)</t>
    </r>
    <phoneticPr fontId="16" type="noConversion"/>
  </si>
  <si>
    <t>시민공원재정비촉진4구역</t>
    <phoneticPr fontId="16" type="noConversion"/>
  </si>
  <si>
    <t>촉진4주택재개발</t>
    <phoneticPr fontId="16" type="noConversion"/>
  </si>
  <si>
    <t>부산진구 양정동 445-15번지 일원</t>
    <phoneticPr fontId="16" type="noConversion"/>
  </si>
  <si>
    <t>현대산업개발</t>
    <phoneticPr fontId="16" type="noConversion"/>
  </si>
  <si>
    <t>2007.05.23</t>
    <phoneticPr fontId="16" type="noConversion"/>
  </si>
  <si>
    <t>2016.02.05</t>
    <phoneticPr fontId="16" type="noConversion"/>
  </si>
  <si>
    <t>2021년 예정</t>
    <phoneticPr fontId="16" type="noConversion"/>
  </si>
  <si>
    <t>2024년예정</t>
    <phoneticPr fontId="16" type="noConversion"/>
  </si>
  <si>
    <t>2023년 예정</t>
    <phoneticPr fontId="16" type="noConversion"/>
  </si>
  <si>
    <t>2025년 예정</t>
    <phoneticPr fontId="16" type="noConversion"/>
  </si>
  <si>
    <t>2026년 예정</t>
    <phoneticPr fontId="16" type="noConversion"/>
  </si>
  <si>
    <t>2030년 예정</t>
    <phoneticPr fontId="16" type="noConversion"/>
  </si>
  <si>
    <t>98㎡</t>
    <phoneticPr fontId="16" type="noConversion"/>
  </si>
  <si>
    <t>36㎡ (임대)</t>
    <phoneticPr fontId="16" type="noConversion"/>
  </si>
  <si>
    <t>45㎡</t>
    <phoneticPr fontId="16" type="noConversion"/>
  </si>
  <si>
    <t>59㎡</t>
    <phoneticPr fontId="16" type="noConversion"/>
  </si>
  <si>
    <t>65㎡</t>
    <phoneticPr fontId="16" type="noConversion"/>
  </si>
  <si>
    <t>84㎡</t>
    <phoneticPr fontId="16" type="noConversion"/>
  </si>
  <si>
    <t>지하3층/지상 최고 46층
/2개동</t>
    <phoneticPr fontId="16" type="noConversion"/>
  </si>
  <si>
    <t>20년07월~20년09월</t>
    <phoneticPr fontId="16" type="noConversion"/>
  </si>
  <si>
    <t>♦ 부전역복합환승센터 개발계획과 함께 미래가치가 높습니다.</t>
    <phoneticPr fontId="16" type="noConversion"/>
  </si>
  <si>
    <t>♦ 시민공원주변재정비 구역 중 사업성이 가장 부족한 구역입니다. (일반분양률 3%), 대신에 촉진3구역과 구역경계를 같이하므로 촉진3구역과 사업의 진행에는 무리 없음.</t>
    <phoneticPr fontId="16" type="noConversion"/>
  </si>
  <si>
    <r>
      <rPr>
        <b/>
        <sz val="12"/>
        <color theme="0"/>
        <rFont val="돋움"/>
        <family val="3"/>
        <charset val="129"/>
      </rPr>
      <t>현재</t>
    </r>
    <r>
      <rPr>
        <b/>
        <sz val="12"/>
        <color theme="0"/>
        <rFont val="Arial"/>
        <family val="2"/>
      </rPr>
      <t xml:space="preserve"> </t>
    </r>
    <r>
      <rPr>
        <b/>
        <sz val="12"/>
        <color theme="0"/>
        <rFont val="돋움"/>
        <family val="3"/>
        <charset val="129"/>
      </rPr>
      <t>입주권</t>
    </r>
    <r>
      <rPr>
        <b/>
        <sz val="12"/>
        <color theme="0"/>
        <rFont val="Arial"/>
        <family val="2"/>
      </rPr>
      <t xml:space="preserve"> </t>
    </r>
    <r>
      <rPr>
        <b/>
        <sz val="12"/>
        <color theme="0"/>
        <rFont val="돋움"/>
        <family val="3"/>
        <charset val="129"/>
      </rPr>
      <t xml:space="preserve">총구매평당가
</t>
    </r>
    <r>
      <rPr>
        <b/>
        <sz val="12"/>
        <color theme="0"/>
        <rFont val="Arial"/>
        <family val="2"/>
      </rPr>
      <t>[(</t>
    </r>
    <r>
      <rPr>
        <b/>
        <sz val="12"/>
        <color theme="0"/>
        <rFont val="돋움"/>
        <family val="3"/>
        <charset val="129"/>
      </rPr>
      <t>평당</t>
    </r>
    <r>
      <rPr>
        <b/>
        <sz val="12"/>
        <color theme="0"/>
        <rFont val="Arial"/>
        <family val="2"/>
      </rPr>
      <t xml:space="preserve"> </t>
    </r>
    <r>
      <rPr>
        <b/>
        <sz val="12"/>
        <color theme="0"/>
        <rFont val="돋움"/>
        <family val="3"/>
        <charset val="129"/>
      </rPr>
      <t>조분가</t>
    </r>
    <r>
      <rPr>
        <b/>
        <sz val="12"/>
        <color theme="0"/>
        <rFont val="Arial"/>
        <family val="2"/>
      </rPr>
      <t>x34</t>
    </r>
    <r>
      <rPr>
        <b/>
        <sz val="12"/>
        <color theme="0"/>
        <rFont val="돋움"/>
        <family val="3"/>
        <charset val="129"/>
      </rPr>
      <t>평</t>
    </r>
    <r>
      <rPr>
        <b/>
        <sz val="12"/>
        <color theme="0"/>
        <rFont val="Arial"/>
        <family val="2"/>
      </rPr>
      <t xml:space="preserve">) + </t>
    </r>
    <r>
      <rPr>
        <b/>
        <sz val="12"/>
        <color theme="0"/>
        <rFont val="돋움"/>
        <family val="3"/>
        <charset val="129"/>
      </rPr>
      <t>현재프리미엄</t>
    </r>
    <r>
      <rPr>
        <b/>
        <sz val="12"/>
        <color theme="0"/>
        <rFont val="Arial"/>
        <family val="2"/>
      </rPr>
      <t>)]/34</t>
    </r>
    <phoneticPr fontId="16" type="noConversion"/>
  </si>
  <si>
    <t>특별건축구역지정고시완료</t>
    <phoneticPr fontId="16" type="noConversion"/>
  </si>
  <si>
    <t>촉진4</t>
  </si>
  <si>
    <r>
      <rPr>
        <sz val="10"/>
        <color rgb="FF000000"/>
        <rFont val="돋움"/>
        <family val="3"/>
        <charset val="129"/>
      </rPr>
      <t>소송중</t>
    </r>
    <r>
      <rPr>
        <sz val="10"/>
        <color rgb="FF000000"/>
        <rFont val="Arial"/>
        <family val="2"/>
      </rPr>
      <t xml:space="preserve"> (1</t>
    </r>
    <r>
      <rPr>
        <sz val="10"/>
        <color rgb="FF000000"/>
        <rFont val="돋움"/>
        <family val="3"/>
        <charset val="129"/>
      </rPr>
      <t>심</t>
    </r>
    <r>
      <rPr>
        <sz val="10"/>
        <color rgb="FF000000"/>
        <rFont val="Arial"/>
        <family val="2"/>
      </rPr>
      <t xml:space="preserve"> : </t>
    </r>
    <r>
      <rPr>
        <sz val="10"/>
        <color rgb="FF000000"/>
        <rFont val="돋움"/>
        <family val="3"/>
        <charset val="129"/>
      </rPr>
      <t>조정모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돋움"/>
        <family val="3"/>
        <charset val="129"/>
      </rPr>
      <t>승소</t>
    </r>
    <r>
      <rPr>
        <sz val="10"/>
        <color rgb="FF000000"/>
        <rFont val="Arial"/>
        <family val="2"/>
      </rPr>
      <t>)</t>
    </r>
    <phoneticPr fontId="16" type="noConversion"/>
  </si>
  <si>
    <t>2020년 11월 예정</t>
    <phoneticPr fontId="16" type="noConversion"/>
  </si>
  <si>
    <t>-</t>
    <phoneticPr fontId="16" type="noConversion"/>
  </si>
  <si>
    <t>일반분양형으로 전환 시도 중 --&gt; 공사 중단 중</t>
    <phoneticPr fontId="16" type="noConversion"/>
  </si>
  <si>
    <t>2020년 철거 중</t>
    <phoneticPr fontId="16" type="noConversion"/>
  </si>
  <si>
    <t>일반분양형 재개발로 전환 성공</t>
    <phoneticPr fontId="16" type="noConversion"/>
  </si>
  <si>
    <t>2020년 진행 중</t>
    <phoneticPr fontId="16" type="noConversion"/>
  </si>
  <si>
    <t>2020년 완료</t>
    <phoneticPr fontId="16" type="noConversion"/>
  </si>
  <si>
    <t>완료</t>
    <phoneticPr fontId="16" type="noConversion"/>
  </si>
  <si>
    <t>레전드</t>
    <phoneticPr fontId="16" type="noConversion"/>
  </si>
  <si>
    <t>2020.10월 조합에서 조합원 분양가를 제시함.</t>
    <phoneticPr fontId="16" type="noConversion"/>
  </si>
  <si>
    <t>해운대센트럴푸르지오</t>
    <phoneticPr fontId="16" type="noConversion"/>
  </si>
  <si>
    <t>명륜2차아이파크1단지</t>
    <phoneticPr fontId="16" type="noConversion"/>
  </si>
  <si>
    <t>레미안어반파크</t>
    <phoneticPr fontId="16" type="noConversion"/>
  </si>
  <si>
    <t>이편한세상부산항</t>
    <phoneticPr fontId="16" type="noConversion"/>
  </si>
  <si>
    <r>
      <rPr>
        <sz val="12"/>
        <color rgb="FF000000"/>
        <rFont val="돋움"/>
        <family val="3"/>
        <charset val="129"/>
      </rPr>
      <t>연지</t>
    </r>
    <r>
      <rPr>
        <sz val="12"/>
        <color rgb="FF000000"/>
        <rFont val="Arial"/>
        <family val="2"/>
      </rPr>
      <t>2</t>
    </r>
    <r>
      <rPr>
        <sz val="12"/>
        <color rgb="FF000000"/>
        <rFont val="돋움"/>
        <family val="3"/>
        <charset val="129"/>
      </rPr>
      <t>구역</t>
    </r>
    <r>
      <rPr>
        <sz val="12"/>
        <color rgb="FF000000"/>
        <rFont val="Arial"/>
        <family val="2"/>
      </rPr>
      <t>(</t>
    </r>
    <r>
      <rPr>
        <sz val="12"/>
        <color rgb="FF000000"/>
        <rFont val="돋움"/>
        <family val="3"/>
        <charset val="129"/>
      </rPr>
      <t>레미안어반파크</t>
    </r>
    <r>
      <rPr>
        <sz val="12"/>
        <color rgb="FF000000"/>
        <rFont val="Arial"/>
        <family val="2"/>
      </rPr>
      <t>)</t>
    </r>
    <phoneticPr fontId="16" type="noConversion"/>
  </si>
  <si>
    <r>
      <rPr>
        <sz val="12"/>
        <color rgb="FF000000"/>
        <rFont val="돋움"/>
        <family val="3"/>
        <charset val="129"/>
      </rPr>
      <t>명륜</t>
    </r>
    <r>
      <rPr>
        <sz val="12"/>
        <color rgb="FF000000"/>
        <rFont val="Arial"/>
        <family val="2"/>
      </rPr>
      <t>2</t>
    </r>
    <r>
      <rPr>
        <sz val="12"/>
        <color rgb="FF000000"/>
        <rFont val="돋움"/>
        <family val="3"/>
        <charset val="129"/>
      </rPr>
      <t>차아이파크</t>
    </r>
    <r>
      <rPr>
        <sz val="12"/>
        <color rgb="FF000000"/>
        <rFont val="Arial"/>
        <family val="2"/>
      </rPr>
      <t>1</t>
    </r>
    <r>
      <rPr>
        <sz val="12"/>
        <color rgb="FF000000"/>
        <rFont val="돋움"/>
        <family val="3"/>
        <charset val="129"/>
      </rPr>
      <t>단지</t>
    </r>
    <phoneticPr fontId="16" type="noConversion"/>
  </si>
  <si>
    <t>데시앙헬링턴플레이스파크시티</t>
    <phoneticPr fontId="16" type="noConversion"/>
  </si>
  <si>
    <r>
      <rPr>
        <b/>
        <sz val="9"/>
        <rFont val="맑은 고딕"/>
        <family val="3"/>
        <charset val="129"/>
      </rPr>
      <t xml:space="preserve"> (예상)매매프리미엄</t>
    </r>
    <r>
      <rPr>
        <b/>
        <sz val="10"/>
        <rFont val="맑은 고딕"/>
        <family val="3"/>
        <charset val="129"/>
      </rPr>
      <t xml:space="preserve">
</t>
    </r>
    <r>
      <rPr>
        <b/>
        <sz val="6"/>
        <rFont val="맑은 고딕"/>
        <family val="3"/>
        <charset val="129"/>
      </rPr>
      <t>(대지 : 공시지가x130%)
(건물 : 연면적평x130만원)
(공동주택 : 공동주택가격x150%)</t>
    </r>
    <phoneticPr fontId="16" type="noConversion"/>
  </si>
  <si>
    <t xml:space="preserve"> (예상)매매프리미엄
(대지 : 공시지가x130%)
(건물 : 연면적평x130만원)
(공동주택 : 공동주택가격x150%)</t>
    <phoneticPr fontId="16" type="noConversion"/>
  </si>
  <si>
    <t xml:space="preserve"> (예상)매매프리미엄
(대지 : 공시지가x130%)
(건물 : 연면적평x130만원)
(공동주택 : 공동주택가격x150%)</t>
    <phoneticPr fontId="16" type="noConversion"/>
  </si>
  <si>
    <t xml:space="preserve"> (예상)매매프리미엄
(대지 : 공시지가x130%)
(건물 : 연면적평x130만원)
(공동주택 : 공동주택가격x150%)</t>
    <phoneticPr fontId="16" type="noConversion"/>
  </si>
  <si>
    <t>부민2구역</t>
    <phoneticPr fontId="16" type="noConversion"/>
  </si>
  <si>
    <t>부민2 재개발</t>
    <phoneticPr fontId="16" type="noConversion"/>
  </si>
  <si>
    <t>제3종일반주거지역</t>
    <phoneticPr fontId="16" type="noConversion"/>
  </si>
  <si>
    <t>051 - 248 - 1245</t>
    <phoneticPr fontId="16" type="noConversion"/>
  </si>
  <si>
    <t>조합(추진위원회)연락처</t>
    <phoneticPr fontId="16" type="noConversion"/>
  </si>
  <si>
    <t>지하3층, 지상24층</t>
    <phoneticPr fontId="16" type="noConversion"/>
  </si>
  <si>
    <t>최초 조합설립</t>
    <phoneticPr fontId="16" type="noConversion"/>
  </si>
  <si>
    <t>추진위원회설립</t>
    <phoneticPr fontId="16" type="noConversion"/>
  </si>
  <si>
    <t>2006.08.03</t>
    <phoneticPr fontId="16" type="noConversion"/>
  </si>
  <si>
    <t>(2020.10월 구역지정 신청 접수 완료)</t>
    <phoneticPr fontId="16" type="noConversion"/>
  </si>
  <si>
    <t>59A</t>
    <phoneticPr fontId="16" type="noConversion"/>
  </si>
  <si>
    <t>59B</t>
    <phoneticPr fontId="16" type="noConversion"/>
  </si>
  <si>
    <t>84A</t>
    <phoneticPr fontId="16" type="noConversion"/>
  </si>
  <si>
    <t>84B</t>
    <phoneticPr fontId="16" type="noConversion"/>
  </si>
  <si>
    <t>84C</t>
    <phoneticPr fontId="16" type="noConversion"/>
  </si>
  <si>
    <t>84D</t>
    <phoneticPr fontId="16" type="noConversion"/>
  </si>
  <si>
    <t>(임대 세대 120 포함)</t>
    <phoneticPr fontId="16" type="noConversion"/>
  </si>
  <si>
    <t>39A</t>
    <phoneticPr fontId="16" type="noConversion"/>
  </si>
  <si>
    <t>서대신2차푸르지오</t>
    <phoneticPr fontId="16" type="noConversion"/>
  </si>
  <si>
    <t>22년01월~22년03월</t>
    <phoneticPr fontId="16" type="noConversion"/>
  </si>
  <si>
    <t>22년04월~22년06월</t>
    <phoneticPr fontId="16" type="noConversion"/>
  </si>
  <si>
    <t>21년04월~21년06월</t>
    <phoneticPr fontId="16" type="noConversion"/>
  </si>
  <si>
    <t>21년07월~21년09월</t>
    <phoneticPr fontId="16" type="noConversion"/>
  </si>
  <si>
    <t>22년07월~22년09월</t>
    <phoneticPr fontId="16" type="noConversion"/>
  </si>
  <si>
    <t>22년10월~21년12월</t>
    <phoneticPr fontId="16" type="noConversion"/>
  </si>
  <si>
    <t>준공시</t>
    <phoneticPr fontId="16" type="noConversion"/>
  </si>
  <si>
    <r>
      <rPr>
        <sz val="12"/>
        <color rgb="FF000000"/>
        <rFont val="돋움"/>
        <family val="3"/>
        <charset val="129"/>
      </rPr>
      <t>부민</t>
    </r>
    <r>
      <rPr>
        <sz val="12"/>
        <color rgb="FF000000"/>
        <rFont val="Arial"/>
        <family val="2"/>
      </rPr>
      <t>2</t>
    </r>
    <phoneticPr fontId="16" type="noConversion"/>
  </si>
  <si>
    <r>
      <rPr>
        <sz val="12"/>
        <color rgb="FF000000"/>
        <rFont val="돋움"/>
        <family val="3"/>
        <charset val="129"/>
      </rPr>
      <t>구역지정신청</t>
    </r>
    <r>
      <rPr>
        <sz val="12"/>
        <color rgb="FF000000"/>
        <rFont val="Arial"/>
        <family val="2"/>
      </rPr>
      <t xml:space="preserve"> </t>
    </r>
    <r>
      <rPr>
        <sz val="12"/>
        <color rgb="FF000000"/>
        <rFont val="돋움"/>
        <family val="3"/>
        <charset val="129"/>
      </rPr>
      <t>완료</t>
    </r>
    <phoneticPr fontId="16" type="noConversion"/>
  </si>
  <si>
    <r>
      <t>2020.10</t>
    </r>
    <r>
      <rPr>
        <sz val="10"/>
        <color rgb="FF000000"/>
        <rFont val="돋움"/>
        <family val="3"/>
        <charset val="129"/>
      </rPr>
      <t>월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돋움"/>
        <family val="3"/>
        <charset val="129"/>
      </rPr>
      <t>정비구역지정신청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돋움"/>
        <family val="3"/>
        <charset val="129"/>
      </rPr>
      <t>완료</t>
    </r>
    <phoneticPr fontId="16" type="noConversion"/>
  </si>
  <si>
    <t>부민동3가 54 및 아미동2가 126 일원</t>
    <phoneticPr fontId="16" type="noConversion"/>
  </si>
  <si>
    <t>데시앙헬링턴플레이스파크시티</t>
    <phoneticPr fontId="16" type="noConversion"/>
  </si>
  <si>
    <t>괴정5주택재개발정비구역</t>
    <phoneticPr fontId="16" type="noConversion"/>
  </si>
  <si>
    <t>더샵캐슬</t>
    <phoneticPr fontId="16" type="noConversion"/>
  </si>
  <si>
    <r>
      <rPr>
        <sz val="12"/>
        <color rgb="FF000000"/>
        <rFont val="돋움"/>
        <family val="3"/>
        <charset val="129"/>
      </rPr>
      <t>괴정</t>
    </r>
    <r>
      <rPr>
        <sz val="12"/>
        <color rgb="FF000000"/>
        <rFont val="Arial"/>
        <family val="2"/>
      </rPr>
      <t>6</t>
    </r>
    <phoneticPr fontId="16" type="noConversion"/>
  </si>
  <si>
    <t>괴정6구역</t>
    <phoneticPr fontId="16" type="noConversion"/>
  </si>
  <si>
    <t>미정</t>
    <phoneticPr fontId="16" type="noConversion"/>
  </si>
  <si>
    <t>부산 사하구 괴정동 486-20번지 일원</t>
    <phoneticPr fontId="16" type="noConversion"/>
  </si>
  <si>
    <t>제3종일반주거지역</t>
    <phoneticPr fontId="16" type="noConversion"/>
  </si>
  <si>
    <t>2020.07.22</t>
    <phoneticPr fontId="16" type="noConversion"/>
  </si>
  <si>
    <t>2021년 예정</t>
    <phoneticPr fontId="16" type="noConversion"/>
  </si>
  <si>
    <t>시공사선정</t>
    <phoneticPr fontId="16" type="noConversion"/>
  </si>
  <si>
    <t>2022년 예정</t>
    <phoneticPr fontId="16" type="noConversion"/>
  </si>
  <si>
    <t>2026년 예정</t>
    <phoneticPr fontId="16" type="noConversion"/>
  </si>
  <si>
    <t>2027년 예정</t>
    <phoneticPr fontId="16" type="noConversion"/>
  </si>
  <si>
    <t>2024년 예정</t>
    <phoneticPr fontId="16" type="noConversion"/>
  </si>
  <si>
    <t>2028년 예정</t>
    <phoneticPr fontId="16" type="noConversion"/>
  </si>
  <si>
    <t>2029년 예정</t>
    <phoneticPr fontId="16" type="noConversion"/>
  </si>
  <si>
    <t>세대 전체 85m2 이하 국민주택규모로 건축 예정. (임대비율 5.2%, 36세대는 39m2 이하로 건축!)</t>
    <phoneticPr fontId="16" type="noConversion"/>
  </si>
  <si>
    <t>2032년 예정</t>
    <phoneticPr fontId="16" type="noConversion"/>
  </si>
  <si>
    <t>39/18 (임대)</t>
    <phoneticPr fontId="16" type="noConversion"/>
  </si>
  <si>
    <t>22년01월~22년03월</t>
    <phoneticPr fontId="16" type="noConversion"/>
  </si>
  <si>
    <t>22년04월~22년05월</t>
    <phoneticPr fontId="16" type="noConversion"/>
  </si>
  <si>
    <t>22년06월~22년09월</t>
    <phoneticPr fontId="16" type="noConversion"/>
  </si>
  <si>
    <t>22년10월~22년12월</t>
    <phoneticPr fontId="16" type="noConversion"/>
  </si>
  <si>
    <t>2032년(완공시)</t>
    <phoneticPr fontId="39" type="noConversion"/>
  </si>
  <si>
    <t>구역지정 완료</t>
    <phoneticPr fontId="16" type="noConversion"/>
  </si>
  <si>
    <t>분양세대 2460 + O.T 144</t>
    <phoneticPr fontId="16" type="noConversion"/>
  </si>
  <si>
    <t>지하7층/지상36</t>
    <phoneticPr fontId="16" type="noConversion"/>
  </si>
  <si>
    <r>
      <t>84</t>
    </r>
    <r>
      <rPr>
        <b/>
        <sz val="10"/>
        <color rgb="FF000000"/>
        <rFont val="굴림"/>
        <family val="3"/>
        <charset val="129"/>
      </rPr>
      <t>㎡</t>
    </r>
    <r>
      <rPr>
        <b/>
        <sz val="10"/>
        <color rgb="FF000000"/>
        <rFont val="맑은 고딕"/>
        <family val="3"/>
        <charset val="129"/>
      </rPr>
      <t>(34py)</t>
    </r>
    <phoneticPr fontId="16" type="noConversion"/>
  </si>
  <si>
    <r>
      <t>74</t>
    </r>
    <r>
      <rPr>
        <b/>
        <sz val="10"/>
        <color rgb="FF000000"/>
        <rFont val="굴림"/>
        <family val="3"/>
        <charset val="129"/>
      </rPr>
      <t>㎡</t>
    </r>
    <r>
      <rPr>
        <b/>
        <sz val="10"/>
        <color rgb="FF000000"/>
        <rFont val="맑은 고딕"/>
        <family val="3"/>
        <charset val="129"/>
      </rPr>
      <t>(30py)</t>
    </r>
    <phoneticPr fontId="16" type="noConversion"/>
  </si>
  <si>
    <r>
      <t>59</t>
    </r>
    <r>
      <rPr>
        <b/>
        <sz val="10"/>
        <color rgb="FF000000"/>
        <rFont val="굴림"/>
        <family val="3"/>
        <charset val="129"/>
      </rPr>
      <t>㎡</t>
    </r>
    <r>
      <rPr>
        <b/>
        <sz val="10"/>
        <color rgb="FF000000"/>
        <rFont val="맑은 고딕"/>
        <family val="3"/>
        <charset val="129"/>
      </rPr>
      <t>(25py)</t>
    </r>
    <phoneticPr fontId="16" type="noConversion"/>
  </si>
  <si>
    <r>
      <t>112</t>
    </r>
    <r>
      <rPr>
        <b/>
        <sz val="10"/>
        <color rgb="FF000000"/>
        <rFont val="굴림"/>
        <family val="3"/>
        <charset val="129"/>
      </rPr>
      <t>㎡</t>
    </r>
    <r>
      <rPr>
        <b/>
        <sz val="10"/>
        <color rgb="FF000000"/>
        <rFont val="맑은 고딕"/>
        <family val="3"/>
        <charset val="129"/>
      </rPr>
      <t>(42py)</t>
    </r>
    <phoneticPr fontId="16" type="noConversion"/>
  </si>
  <si>
    <t>21년01월~21년03월</t>
    <phoneticPr fontId="16" type="noConversion"/>
  </si>
  <si>
    <t>21년04월~21년06월</t>
    <phoneticPr fontId="16" type="noConversion"/>
  </si>
  <si>
    <t>21년07월~21년09월</t>
    <phoneticPr fontId="16" type="noConversion"/>
  </si>
  <si>
    <t>21년10월~21년12월</t>
    <phoneticPr fontId="16" type="noConversion"/>
  </si>
  <si>
    <t>21년04월~21년06월</t>
    <phoneticPr fontId="16" type="noConversion"/>
  </si>
  <si>
    <t>21년07월~21년09월</t>
    <phoneticPr fontId="16" type="noConversion"/>
  </si>
  <si>
    <t>21년10월~21년12월</t>
    <phoneticPr fontId="16" type="noConversion"/>
  </si>
  <si>
    <t>2022년</t>
    <phoneticPr fontId="16" type="noConversion"/>
  </si>
  <si>
    <t>2022년</t>
    <phoneticPr fontId="16" type="noConversion"/>
  </si>
  <si>
    <t>21년01월~21년03월</t>
    <phoneticPr fontId="16" type="noConversion"/>
  </si>
  <si>
    <t>2022년</t>
    <phoneticPr fontId="16" type="noConversion"/>
  </si>
  <si>
    <t>2023년</t>
    <phoneticPr fontId="16" type="noConversion"/>
  </si>
  <si>
    <t>22년01월~22년03월</t>
    <phoneticPr fontId="16" type="noConversion"/>
  </si>
  <si>
    <t>2023년</t>
    <phoneticPr fontId="39" type="noConversion"/>
  </si>
  <si>
    <t>2024년</t>
    <phoneticPr fontId="39" type="noConversion"/>
  </si>
  <si>
    <t>2025년</t>
    <phoneticPr fontId="16" type="noConversion"/>
  </si>
  <si>
    <t>2021.01.18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</si>
</sst>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1" formatCode="_-* #,##0_-;\-* #,##0_-;_-* &quot;-&quot;_-;_-@_-"/>
    <numFmt numFmtId="176" formatCode="#,##0_ "/>
    <numFmt numFmtId="177" formatCode="&quot;₩&quot;#,##0_);[Red]\(&quot;₩&quot;#,##0\)"/>
    <numFmt numFmtId="178" formatCode="yy&quot;-&quot;m&quot;-&quot;d;@"/>
    <numFmt numFmtId="179" formatCode="0.0"/>
    <numFmt numFmtId="180" formatCode="_-* #,##0_-;\-* #,##0_-;_-* &quot;-&quot;??_-;_-@_-"/>
    <numFmt numFmtId="181" formatCode="#,##0.0_ "/>
    <numFmt numFmtId="182" formatCode="&quot;₩&quot;#,##0"/>
    <numFmt numFmtId="183" formatCode="0_ "/>
    <numFmt numFmtId="184" formatCode="0_);[Red]\(0\)"/>
    <numFmt numFmtId="185" formatCode="&quot;₩&quot;#,##0.00_);[Red]\(&quot;₩&quot;#,##0.00\)"/>
  </numFmts>
  <fonts count="70">
    <font>
      <sz val="11"/>
      <color rgb="FF000000"/>
      <name val="맑은 고딕"/>
    </font>
    <font>
      <b/>
      <sz val="10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8"/>
      <color rgb="FF000000"/>
      <name val="맑은 고딕"/>
      <family val="3"/>
      <charset val="129"/>
    </font>
    <font>
      <sz val="5"/>
      <color rgb="FFFF0000"/>
      <name val="맑은 고딕"/>
      <family val="3"/>
      <charset val="129"/>
    </font>
    <font>
      <sz val="8"/>
      <color rgb="FFFF0000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0"/>
      <color rgb="FFFFFFFF"/>
      <name val="맑은 고딕"/>
      <family val="3"/>
      <charset val="129"/>
    </font>
    <font>
      <b/>
      <sz val="10"/>
      <color rgb="FF000000"/>
      <name val="굴림"/>
      <family val="3"/>
      <charset val="129"/>
    </font>
    <font>
      <sz val="10"/>
      <color rgb="FFFFFFFF"/>
      <name val="맑은 고딕"/>
      <family val="3"/>
      <charset val="129"/>
    </font>
    <font>
      <b/>
      <sz val="9"/>
      <color rgb="FFFFFFFF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b/>
      <sz val="14"/>
      <color rgb="FFFFFF00"/>
      <name val="Tmon몬소리 Black"/>
      <family val="3"/>
      <charset val="129"/>
    </font>
    <font>
      <i/>
      <sz val="10"/>
      <color rgb="FF000000"/>
      <name val="맑은 고딕"/>
      <family val="3"/>
      <charset val="129"/>
    </font>
    <font>
      <b/>
      <sz val="14"/>
      <color rgb="FFFFFF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6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  <scheme val="major"/>
    </font>
    <font>
      <sz val="7"/>
      <color rgb="FFFF0000"/>
      <name val="맑은 고딕"/>
      <family val="3"/>
      <charset val="129"/>
    </font>
    <font>
      <b/>
      <sz val="10"/>
      <name val="맑은 고딕"/>
      <family val="3"/>
      <charset val="129"/>
    </font>
    <font>
      <b/>
      <sz val="14"/>
      <color theme="8" tint="-0.249977111117893"/>
      <name val="Tmon몬소리 Black"/>
      <family val="3"/>
      <charset val="129"/>
    </font>
    <font>
      <sz val="10"/>
      <color theme="1" tint="0.14999847407452621"/>
      <name val="맑은 고딕"/>
      <family val="3"/>
      <charset val="129"/>
    </font>
    <font>
      <b/>
      <sz val="10"/>
      <color theme="1" tint="0.14999847407452621"/>
      <name val="맑은 고딕"/>
      <family val="3"/>
      <charset val="129"/>
    </font>
    <font>
      <i/>
      <sz val="10"/>
      <color theme="1" tint="0.14999847407452621"/>
      <name val="맑은 고딕"/>
      <family val="3"/>
      <charset val="129"/>
    </font>
    <font>
      <sz val="8"/>
      <color theme="1" tint="0.14999847407452621"/>
      <name val="맑은 고딕"/>
      <family val="3"/>
      <charset val="129"/>
    </font>
    <font>
      <sz val="5"/>
      <color theme="1" tint="0.14999847407452621"/>
      <name val="맑은 고딕"/>
      <family val="3"/>
      <charset val="129"/>
    </font>
    <font>
      <b/>
      <sz val="10"/>
      <color theme="1" tint="0.14999847407452621"/>
      <name val="굴림"/>
      <family val="3"/>
      <charset val="129"/>
    </font>
    <font>
      <b/>
      <sz val="9"/>
      <color theme="1" tint="0.14999847407452621"/>
      <name val="맑은 고딕"/>
      <family val="3"/>
      <charset val="129"/>
    </font>
    <font>
      <sz val="10"/>
      <name val="맑은 고딕"/>
      <family val="3"/>
      <charset val="129"/>
    </font>
    <font>
      <b/>
      <sz val="9"/>
      <name val="맑은 고딕"/>
      <family val="3"/>
      <charset val="129"/>
    </font>
    <font>
      <b/>
      <sz val="14"/>
      <color theme="8" tint="-0.499984740745262"/>
      <name val="Tmon몬소리 Black"/>
      <family val="3"/>
      <charset val="129"/>
    </font>
    <font>
      <sz val="9"/>
      <color rgb="FF000000"/>
      <name val="맑은 고딕"/>
      <family val="3"/>
      <charset val="129"/>
    </font>
    <font>
      <b/>
      <sz val="14"/>
      <color theme="6" tint="-0.499984740745262"/>
      <name val="Tmon몬소리 Black"/>
      <family val="3"/>
      <charset val="129"/>
    </font>
    <font>
      <b/>
      <sz val="14"/>
      <color theme="6" tint="-0.249977111117893"/>
      <name val="Tmon몬소리 Black"/>
      <family val="3"/>
      <charset val="129"/>
    </font>
    <font>
      <b/>
      <sz val="9"/>
      <color rgb="FF000000"/>
      <name val="맑은 고딕"/>
      <family val="3"/>
      <charset val="129"/>
    </font>
    <font>
      <b/>
      <sz val="10"/>
      <color theme="6" tint="-0.499984740745262"/>
      <name val="맑은 고딕"/>
      <family val="3"/>
      <charset val="129"/>
    </font>
    <font>
      <b/>
      <i/>
      <sz val="10"/>
      <color rgb="FF000000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11"/>
      <color rgb="FF000000"/>
      <name val="맑은 고딕"/>
      <family val="3"/>
      <charset val="129"/>
    </font>
    <font>
      <b/>
      <sz val="6"/>
      <name val="맑은 고딕"/>
      <family val="3"/>
      <charset val="129"/>
    </font>
    <font>
      <b/>
      <sz val="10"/>
      <color theme="0" tint="-0.499984740745262"/>
      <name val="맑은 고딕"/>
      <family val="3"/>
      <charset val="129"/>
    </font>
    <font>
      <sz val="11"/>
      <color theme="0" tint="-0.499984740745262"/>
      <name val="맑은 고딕"/>
      <family val="3"/>
      <charset val="129"/>
    </font>
    <font>
      <sz val="10"/>
      <color rgb="FF000000"/>
      <name val="바탕"/>
      <family val="1"/>
      <charset val="129"/>
    </font>
    <font>
      <sz val="9.6999999999999993"/>
      <color rgb="FF000000"/>
      <name val="맑은 고딕"/>
      <family val="3"/>
      <charset val="129"/>
    </font>
    <font>
      <sz val="9.6999999999999993"/>
      <color rgb="FF000000"/>
      <name val="바탕"/>
      <family val="1"/>
      <charset val="129"/>
    </font>
    <font>
      <b/>
      <sz val="8"/>
      <color rgb="FF000000"/>
      <name val="맑은 고딕"/>
      <family val="3"/>
      <charset val="129"/>
    </font>
    <font>
      <sz val="11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9.6999999999999993"/>
      <color rgb="FF000000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b/>
      <sz val="10"/>
      <color theme="0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sz val="10"/>
      <color rgb="FF000000"/>
      <name val="Arial"/>
      <family val="2"/>
    </font>
    <font>
      <b/>
      <sz val="12"/>
      <color theme="0"/>
      <name val="Arial"/>
      <family val="2"/>
    </font>
    <font>
      <sz val="12"/>
      <color rgb="FF000000"/>
      <name val="맑은 고딕"/>
      <family val="3"/>
      <charset val="129"/>
    </font>
    <font>
      <sz val="10"/>
      <color rgb="FF000000"/>
      <name val="돋움"/>
      <family val="3"/>
      <charset val="129"/>
    </font>
    <font>
      <sz val="12"/>
      <color rgb="FF000000"/>
      <name val="Arial"/>
      <family val="2"/>
    </font>
    <font>
      <sz val="12"/>
      <color rgb="FF0000FF"/>
      <name val="Arial"/>
      <family val="2"/>
    </font>
    <font>
      <sz val="12"/>
      <color rgb="FF0000CC"/>
      <name val="Arial"/>
      <family val="2"/>
    </font>
    <font>
      <sz val="12"/>
      <name val="Arial"/>
      <family val="2"/>
    </font>
    <font>
      <b/>
      <sz val="12"/>
      <color theme="0"/>
      <name val="돋움"/>
      <family val="3"/>
      <charset val="129"/>
    </font>
    <font>
      <b/>
      <sz val="12"/>
      <color rgb="FFFF0000"/>
      <name val="Arial"/>
      <family val="2"/>
    </font>
    <font>
      <b/>
      <sz val="12"/>
      <color rgb="FFFF0000"/>
      <name val="돋움"/>
      <family val="3"/>
      <charset val="129"/>
    </font>
    <font>
      <b/>
      <sz val="12"/>
      <color rgb="FF0000CC"/>
      <name val="Arial"/>
      <family val="2"/>
    </font>
    <font>
      <b/>
      <sz val="12"/>
      <color rgb="FF0000CC"/>
      <name val="돋움"/>
      <family val="3"/>
      <charset val="129"/>
    </font>
    <font>
      <sz val="12"/>
      <color rgb="FF000000"/>
      <name val="돋움"/>
      <family val="3"/>
      <charset val="129"/>
    </font>
    <font>
      <sz val="12"/>
      <color rgb="FF000000"/>
      <name val="맑은 고딕"/>
      <family val="3"/>
      <charset val="129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7F7F7F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8F7D4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F0000"/>
        <bgColor indexed="64"/>
      </patternFill>
    </fill>
  </fills>
  <borders count="77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theme="9" tint="-0.24994659260841701"/>
      </left>
      <right style="thin">
        <color indexed="64"/>
      </right>
      <top style="thick">
        <color theme="9" tint="-0.24994659260841701"/>
      </top>
      <bottom/>
      <diagonal/>
    </border>
    <border>
      <left style="thin">
        <color indexed="64"/>
      </left>
      <right style="thin">
        <color indexed="64"/>
      </right>
      <top style="thick">
        <color theme="9" tint="-0.24994659260841701"/>
      </top>
      <bottom/>
      <diagonal/>
    </border>
    <border>
      <left style="thin">
        <color indexed="64"/>
      </left>
      <right/>
      <top style="thick">
        <color theme="9" tint="-0.24994659260841701"/>
      </top>
      <bottom/>
      <diagonal/>
    </border>
    <border>
      <left style="thin">
        <color indexed="64"/>
      </left>
      <right style="thin">
        <color indexed="64"/>
      </right>
      <top style="thick">
        <color theme="9" tint="-0.24994659260841701"/>
      </top>
      <bottom style="thin">
        <color indexed="64"/>
      </bottom>
      <diagonal/>
    </border>
    <border>
      <left/>
      <right/>
      <top style="thick">
        <color theme="9" tint="-0.24994659260841701"/>
      </top>
      <bottom/>
      <diagonal/>
    </border>
    <border>
      <left/>
      <right style="thick">
        <color theme="9" tint="-0.24994659260841701"/>
      </right>
      <top style="thick">
        <color theme="9" tint="-0.24994659260841701"/>
      </top>
      <bottom/>
      <diagonal/>
    </border>
    <border>
      <left style="thick">
        <color theme="9" tint="-0.2499465926084170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theme="9" tint="-0.24994659260841701"/>
      </right>
      <top style="thin">
        <color indexed="64"/>
      </top>
      <bottom/>
      <diagonal/>
    </border>
    <border>
      <left style="thick">
        <color theme="9" tint="-0.24994659260841701"/>
      </left>
      <right style="thin">
        <color indexed="64"/>
      </right>
      <top style="thin">
        <color indexed="64"/>
      </top>
      <bottom style="thick">
        <color theme="9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theme="9" tint="-0.24994659260841701"/>
      </bottom>
      <diagonal/>
    </border>
    <border>
      <left style="thin">
        <color indexed="64"/>
      </left>
      <right style="thick">
        <color theme="9" tint="-0.24994659260841701"/>
      </right>
      <top style="thin">
        <color indexed="64"/>
      </top>
      <bottom style="thick">
        <color theme="9" tint="-0.24994659260841701"/>
      </bottom>
      <diagonal/>
    </border>
    <border>
      <left/>
      <right style="medium">
        <color indexed="64"/>
      </right>
      <top style="thick">
        <color theme="9" tint="-0.2499465926084170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theme="9" tint="-0.24994659260841701"/>
      </bottom>
      <diagonal/>
    </border>
    <border>
      <left/>
      <right/>
      <top/>
      <bottom style="thin">
        <color rgb="FFFFC000"/>
      </bottom>
      <diagonal/>
    </border>
    <border>
      <left style="thin">
        <color indexed="64"/>
      </left>
      <right/>
      <top style="thick">
        <color theme="9" tint="-0.24994659260841701"/>
      </top>
      <bottom style="medium">
        <color indexed="64"/>
      </bottom>
      <diagonal/>
    </border>
    <border>
      <left/>
      <right/>
      <top style="thick">
        <color theme="9" tint="-0.24994659260841701"/>
      </top>
      <bottom style="medium">
        <color indexed="64"/>
      </bottom>
      <diagonal/>
    </border>
    <border>
      <left/>
      <right style="medium">
        <color indexed="64"/>
      </right>
      <top style="thick">
        <color theme="9" tint="-0.24994659260841701"/>
      </top>
      <bottom style="medium">
        <color indexed="64"/>
      </bottom>
      <diagonal/>
    </border>
    <border>
      <left style="thick">
        <color theme="9" tint="-0.24994659260841701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5">
    <xf numFmtId="0" fontId="0" fillId="0" borderId="0">
      <alignment vertical="center"/>
    </xf>
    <xf numFmtId="41" fontId="15" fillId="0" borderId="0">
      <alignment vertical="center"/>
    </xf>
    <xf numFmtId="9" fontId="15" fillId="0" borderId="0">
      <alignment vertical="center"/>
    </xf>
    <xf numFmtId="0" fontId="15" fillId="0" borderId="0">
      <alignment vertical="center"/>
    </xf>
    <xf numFmtId="0" fontId="51" fillId="0" borderId="0" applyNumberFormat="0" applyFill="0" applyBorder="0" applyAlignment="0" applyProtection="0">
      <alignment vertical="center"/>
    </xf>
  </cellStyleXfs>
  <cellXfs count="1076">
    <xf numFmtId="0" fontId="0" fillId="0" borderId="0" xfId="0" applyNumberFormat="1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49" fontId="1" fillId="0" borderId="0" xfId="0" applyNumberFormat="1" applyFont="1" applyFill="1" applyBorder="1" applyAlignment="1" applyProtection="1">
      <alignment horizontal="center" vertical="center"/>
    </xf>
    <xf numFmtId="41" fontId="1" fillId="0" borderId="0" xfId="1" applyNumberFormat="1" applyFont="1" applyFill="1" applyBorder="1" applyAlignment="1" applyProtection="1">
      <alignment horizontal="center" vertical="center"/>
    </xf>
    <xf numFmtId="176" fontId="1" fillId="0" borderId="0" xfId="0" applyNumberFormat="1" applyFont="1" applyFill="1" applyBorder="1" applyAlignment="1" applyProtection="1">
      <alignment horizontal="right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49" fontId="1" fillId="0" borderId="8" xfId="0" applyNumberFormat="1" applyFont="1" applyFill="1" applyBorder="1" applyAlignment="1" applyProtection="1">
      <alignment horizontal="center" vertical="center"/>
    </xf>
    <xf numFmtId="176" fontId="1" fillId="0" borderId="9" xfId="0" applyNumberFormat="1" applyFont="1" applyFill="1" applyBorder="1" applyAlignment="1" applyProtection="1">
      <alignment horizontal="left" vertical="center"/>
    </xf>
    <xf numFmtId="176" fontId="1" fillId="0" borderId="10" xfId="0" applyNumberFormat="1" applyFont="1" applyFill="1" applyBorder="1" applyAlignment="1" applyProtection="1">
      <alignment horizontal="left" vertical="center"/>
    </xf>
    <xf numFmtId="0" fontId="1" fillId="0" borderId="11" xfId="0" applyNumberFormat="1" applyFont="1" applyFill="1" applyBorder="1" applyAlignment="1" applyProtection="1">
      <alignment vertical="center"/>
    </xf>
    <xf numFmtId="0" fontId="1" fillId="0" borderId="12" xfId="0" applyNumberFormat="1" applyFont="1" applyFill="1" applyBorder="1" applyAlignment="1" applyProtection="1">
      <alignment vertical="center"/>
    </xf>
    <xf numFmtId="49" fontId="1" fillId="0" borderId="13" xfId="0" applyNumberFormat="1" applyFont="1" applyFill="1" applyBorder="1" applyAlignment="1" applyProtection="1">
      <alignment horizontal="center" vertical="center"/>
    </xf>
    <xf numFmtId="176" fontId="1" fillId="0" borderId="6" xfId="0" applyNumberFormat="1" applyFont="1" applyFill="1" applyBorder="1" applyAlignment="1" applyProtection="1">
      <alignment horizontal="left" vertical="center"/>
    </xf>
    <xf numFmtId="176" fontId="1" fillId="0" borderId="14" xfId="0" applyNumberFormat="1" applyFont="1" applyFill="1" applyBorder="1" applyAlignment="1" applyProtection="1">
      <alignment horizontal="left" vertical="center"/>
    </xf>
    <xf numFmtId="0" fontId="1" fillId="0" borderId="15" xfId="0" applyNumberFormat="1" applyFont="1" applyFill="1" applyBorder="1" applyAlignment="1" applyProtection="1">
      <alignment vertical="center"/>
    </xf>
    <xf numFmtId="0" fontId="1" fillId="0" borderId="16" xfId="0" applyNumberFormat="1" applyFont="1" applyFill="1" applyBorder="1" applyAlignment="1" applyProtection="1">
      <alignment vertical="center"/>
    </xf>
    <xf numFmtId="49" fontId="1" fillId="0" borderId="17" xfId="0" applyNumberFormat="1" applyFont="1" applyFill="1" applyBorder="1" applyAlignment="1" applyProtection="1">
      <alignment horizontal="center" vertical="center"/>
    </xf>
    <xf numFmtId="176" fontId="1" fillId="0" borderId="7" xfId="0" applyNumberFormat="1" applyFont="1" applyFill="1" applyBorder="1" applyAlignment="1" applyProtection="1">
      <alignment horizontal="right" vertical="center"/>
    </xf>
    <xf numFmtId="0" fontId="1" fillId="0" borderId="18" xfId="0" applyNumberFormat="1" applyFont="1" applyFill="1" applyBorder="1" applyAlignment="1" applyProtection="1">
      <alignment vertical="center"/>
    </xf>
    <xf numFmtId="0" fontId="1" fillId="0" borderId="19" xfId="0" applyNumberFormat="1" applyFont="1" applyFill="1" applyBorder="1" applyAlignment="1" applyProtection="1">
      <alignment vertical="center"/>
    </xf>
    <xf numFmtId="0" fontId="1" fillId="0" borderId="20" xfId="0" applyNumberFormat="1" applyFont="1" applyFill="1" applyBorder="1" applyAlignment="1" applyProtection="1">
      <alignment vertical="center"/>
    </xf>
    <xf numFmtId="49" fontId="1" fillId="0" borderId="7" xfId="2" applyNumberFormat="1" applyFont="1" applyFill="1" applyBorder="1" applyAlignment="1" applyProtection="1">
      <alignment horizontal="center" vertical="center"/>
    </xf>
    <xf numFmtId="9" fontId="1" fillId="0" borderId="7" xfId="2" applyNumberFormat="1" applyFont="1" applyFill="1" applyBorder="1" applyAlignment="1" applyProtection="1">
      <alignment vertical="center"/>
    </xf>
    <xf numFmtId="49" fontId="1" fillId="0" borderId="18" xfId="0" applyNumberFormat="1" applyFont="1" applyFill="1" applyBorder="1" applyAlignment="1" applyProtection="1">
      <alignment horizontal="center" vertical="center"/>
    </xf>
    <xf numFmtId="10" fontId="1" fillId="0" borderId="7" xfId="2" applyNumberFormat="1" applyFont="1" applyFill="1" applyBorder="1" applyAlignment="1" applyProtection="1">
      <alignment horizontal="right" vertical="center"/>
    </xf>
    <xf numFmtId="49" fontId="1" fillId="0" borderId="7" xfId="0" applyNumberFormat="1" applyFont="1" applyFill="1" applyBorder="1" applyAlignment="1" applyProtection="1">
      <alignment horizontal="center" vertical="center"/>
    </xf>
    <xf numFmtId="176" fontId="1" fillId="0" borderId="7" xfId="1" applyNumberFormat="1" applyFont="1" applyFill="1" applyBorder="1" applyAlignment="1" applyProtection="1">
      <alignment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180" fontId="1" fillId="0" borderId="7" xfId="0" applyNumberFormat="1" applyFont="1" applyFill="1" applyBorder="1" applyAlignment="1" applyProtection="1">
      <alignment vertical="center"/>
    </xf>
    <xf numFmtId="180" fontId="1" fillId="0" borderId="21" xfId="0" applyNumberFormat="1" applyFont="1" applyFill="1" applyBorder="1" applyAlignment="1" applyProtection="1">
      <alignment vertical="center"/>
    </xf>
    <xf numFmtId="41" fontId="1" fillId="0" borderId="7" xfId="1" applyNumberFormat="1" applyFont="1" applyFill="1" applyBorder="1" applyAlignment="1" applyProtection="1">
      <alignment vertical="center"/>
    </xf>
    <xf numFmtId="0" fontId="1" fillId="0" borderId="21" xfId="0" applyNumberFormat="1" applyFont="1" applyFill="1" applyBorder="1" applyAlignment="1" applyProtection="1">
      <alignment vertical="center"/>
    </xf>
    <xf numFmtId="49" fontId="1" fillId="0" borderId="22" xfId="0" applyNumberFormat="1" applyFont="1" applyFill="1" applyBorder="1" applyAlignment="1" applyProtection="1">
      <alignment horizontal="center" vertical="center"/>
    </xf>
    <xf numFmtId="9" fontId="1" fillId="0" borderId="7" xfId="0" applyNumberFormat="1" applyFont="1" applyFill="1" applyBorder="1" applyAlignment="1" applyProtection="1">
      <alignment horizontal="center" vertical="center"/>
    </xf>
    <xf numFmtId="176" fontId="1" fillId="0" borderId="18" xfId="0" applyNumberFormat="1" applyFont="1" applyFill="1" applyBorder="1" applyAlignment="1" applyProtection="1">
      <alignment horizontal="center" vertical="center"/>
    </xf>
    <xf numFmtId="49" fontId="1" fillId="0" borderId="23" xfId="0" applyNumberFormat="1" applyFont="1" applyFill="1" applyBorder="1" applyAlignment="1" applyProtection="1">
      <alignment horizontal="center" vertical="center"/>
    </xf>
    <xf numFmtId="176" fontId="1" fillId="0" borderId="24" xfId="0" applyNumberFormat="1" applyFont="1" applyFill="1" applyBorder="1" applyAlignment="1" applyProtection="1">
      <alignment horizontal="center" vertical="center"/>
    </xf>
    <xf numFmtId="0" fontId="1" fillId="0" borderId="25" xfId="0" applyNumberFormat="1" applyFont="1" applyFill="1" applyBorder="1" applyAlignment="1" applyProtection="1">
      <alignment vertical="center"/>
    </xf>
    <xf numFmtId="0" fontId="1" fillId="0" borderId="26" xfId="0" applyNumberFormat="1" applyFont="1" applyFill="1" applyBorder="1" applyAlignment="1" applyProtection="1">
      <alignment vertical="center"/>
    </xf>
    <xf numFmtId="0" fontId="1" fillId="0" borderId="2" xfId="0" applyNumberFormat="1" applyFont="1" applyFill="1" applyBorder="1" applyAlignment="1" applyProtection="1">
      <alignment vertical="center"/>
    </xf>
    <xf numFmtId="49" fontId="1" fillId="0" borderId="27" xfId="0" applyNumberFormat="1" applyFont="1" applyFill="1" applyBorder="1" applyAlignment="1" applyProtection="1">
      <alignment horizontal="center" vertical="center"/>
    </xf>
    <xf numFmtId="176" fontId="1" fillId="0" borderId="0" xfId="0" applyNumberFormat="1" applyFont="1" applyFill="1" applyBorder="1" applyAlignment="1" applyProtection="1">
      <alignment horizontal="center" vertical="center"/>
    </xf>
    <xf numFmtId="0" fontId="1" fillId="0" borderId="28" xfId="0" applyNumberFormat="1" applyFont="1" applyFill="1" applyBorder="1" applyAlignment="1" applyProtection="1">
      <alignment vertical="center"/>
    </xf>
    <xf numFmtId="49" fontId="1" fillId="0" borderId="9" xfId="0" applyNumberFormat="1" applyFont="1" applyFill="1" applyBorder="1" applyAlignment="1" applyProtection="1">
      <alignment horizontal="center" vertical="center"/>
    </xf>
    <xf numFmtId="178" fontId="1" fillId="0" borderId="9" xfId="0" applyNumberFormat="1" applyFont="1" applyFill="1" applyBorder="1" applyAlignment="1" applyProtection="1">
      <alignment horizontal="center" vertical="center"/>
    </xf>
    <xf numFmtId="178" fontId="1" fillId="0" borderId="10" xfId="0" applyNumberFormat="1" applyFont="1" applyFill="1" applyBorder="1" applyAlignment="1" applyProtection="1">
      <alignment horizontal="center" vertical="center"/>
    </xf>
    <xf numFmtId="178" fontId="1" fillId="0" borderId="7" xfId="0" applyNumberFormat="1" applyFont="1" applyFill="1" applyBorder="1" applyAlignment="1" applyProtection="1">
      <alignment horizontal="center" vertical="center"/>
    </xf>
    <xf numFmtId="178" fontId="1" fillId="0" borderId="18" xfId="0" applyNumberFormat="1" applyFont="1" applyFill="1" applyBorder="1" applyAlignment="1" applyProtection="1">
      <alignment horizontal="center" vertical="center"/>
    </xf>
    <xf numFmtId="49" fontId="1" fillId="0" borderId="24" xfId="0" applyNumberFormat="1" applyFont="1" applyFill="1" applyBorder="1" applyAlignment="1" applyProtection="1">
      <alignment horizontal="center" vertical="center"/>
    </xf>
    <xf numFmtId="49" fontId="1" fillId="3" borderId="8" xfId="0" applyNumberFormat="1" applyFont="1" applyFill="1" applyBorder="1" applyAlignment="1" applyProtection="1">
      <alignment horizontal="center" vertical="center"/>
    </xf>
    <xf numFmtId="41" fontId="1" fillId="3" borderId="9" xfId="1" applyNumberFormat="1" applyFont="1" applyFill="1" applyBorder="1" applyAlignment="1" applyProtection="1">
      <alignment horizontal="center" vertical="center"/>
    </xf>
    <xf numFmtId="49" fontId="1" fillId="3" borderId="9" xfId="0" applyNumberFormat="1" applyFont="1" applyFill="1" applyBorder="1" applyAlignment="1" applyProtection="1">
      <alignment horizontal="center" vertical="center"/>
    </xf>
    <xf numFmtId="0" fontId="1" fillId="3" borderId="29" xfId="0" applyNumberFormat="1" applyFont="1" applyFill="1" applyBorder="1" applyAlignment="1" applyProtection="1">
      <alignment horizontal="center" vertical="center"/>
    </xf>
    <xf numFmtId="41" fontId="1" fillId="0" borderId="7" xfId="1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vertical="center"/>
    </xf>
    <xf numFmtId="9" fontId="1" fillId="0" borderId="21" xfId="2" applyNumberFormat="1" applyFont="1" applyFill="1" applyBorder="1" applyAlignment="1" applyProtection="1">
      <alignment vertical="center"/>
    </xf>
    <xf numFmtId="49" fontId="1" fillId="0" borderId="30" xfId="0" applyNumberFormat="1" applyFont="1" applyFill="1" applyBorder="1" applyAlignment="1" applyProtection="1">
      <alignment horizontal="center" vertical="center"/>
    </xf>
    <xf numFmtId="41" fontId="1" fillId="0" borderId="23" xfId="1" applyNumberFormat="1" applyFont="1" applyFill="1" applyBorder="1" applyAlignment="1" applyProtection="1">
      <alignment horizontal="center" vertical="center"/>
    </xf>
    <xf numFmtId="176" fontId="1" fillId="0" borderId="23" xfId="0" applyNumberFormat="1" applyFont="1" applyFill="1" applyBorder="1" applyAlignment="1" applyProtection="1">
      <alignment horizontal="right" vertical="center"/>
    </xf>
    <xf numFmtId="176" fontId="1" fillId="0" borderId="23" xfId="0" applyNumberFormat="1" applyFont="1" applyFill="1" applyBorder="1" applyAlignment="1" applyProtection="1">
      <alignment vertical="center"/>
    </xf>
    <xf numFmtId="9" fontId="1" fillId="0" borderId="31" xfId="2" applyNumberFormat="1" applyFont="1" applyFill="1" applyBorder="1" applyAlignment="1" applyProtection="1">
      <alignment vertical="center"/>
    </xf>
    <xf numFmtId="49" fontId="1" fillId="3" borderId="29" xfId="0" applyNumberFormat="1" applyFont="1" applyFill="1" applyBorder="1" applyAlignment="1" applyProtection="1">
      <alignment horizontal="center" vertical="center"/>
    </xf>
    <xf numFmtId="177" fontId="1" fillId="0" borderId="7" xfId="0" applyNumberFormat="1" applyFont="1" applyFill="1" applyBorder="1" applyAlignment="1" applyProtection="1">
      <alignment horizontal="right" vertical="center"/>
    </xf>
    <xf numFmtId="177" fontId="1" fillId="0" borderId="7" xfId="0" applyNumberFormat="1" applyFont="1" applyFill="1" applyBorder="1" applyAlignment="1" applyProtection="1">
      <alignment vertical="center"/>
    </xf>
    <xf numFmtId="177" fontId="1" fillId="0" borderId="23" xfId="0" applyNumberFormat="1" applyFont="1" applyFill="1" applyBorder="1" applyAlignment="1" applyProtection="1">
      <alignment horizontal="right" vertical="center"/>
    </xf>
    <xf numFmtId="177" fontId="1" fillId="0" borderId="23" xfId="0" applyNumberFormat="1" applyFont="1" applyFill="1" applyBorder="1" applyAlignment="1" applyProtection="1">
      <alignment vertical="center"/>
    </xf>
    <xf numFmtId="0" fontId="1" fillId="0" borderId="31" xfId="0" applyNumberFormat="1" applyFont="1" applyFill="1" applyBorder="1" applyAlignment="1" applyProtection="1">
      <alignment vertical="center"/>
    </xf>
    <xf numFmtId="49" fontId="1" fillId="0" borderId="0" xfId="0" applyNumberFormat="1" applyFont="1" applyFill="1" applyBorder="1" applyAlignment="1" applyProtection="1">
      <alignment horizontal="center" vertical="center" wrapText="1"/>
    </xf>
    <xf numFmtId="177" fontId="1" fillId="0" borderId="0" xfId="0" applyNumberFormat="1" applyFont="1" applyFill="1" applyBorder="1" applyAlignment="1" applyProtection="1">
      <alignment horizontal="right" vertical="center"/>
    </xf>
    <xf numFmtId="177" fontId="1" fillId="0" borderId="0" xfId="0" applyNumberFormat="1" applyFont="1" applyFill="1" applyBorder="1" applyAlignment="1" applyProtection="1">
      <alignment vertical="center"/>
    </xf>
    <xf numFmtId="49" fontId="1" fillId="3" borderId="9" xfId="0" applyNumberFormat="1" applyFont="1" applyFill="1" applyBorder="1" applyAlignment="1" applyProtection="1">
      <alignment horizontal="center" vertical="center" wrapText="1"/>
    </xf>
    <xf numFmtId="177" fontId="1" fillId="0" borderId="7" xfId="1" applyNumberFormat="1" applyFont="1" applyFill="1" applyBorder="1" applyAlignment="1" applyProtection="1">
      <alignment horizontal="right" vertical="center"/>
    </xf>
    <xf numFmtId="177" fontId="1" fillId="0" borderId="21" xfId="0" applyNumberFormat="1" applyFont="1" applyFill="1" applyBorder="1" applyAlignment="1" applyProtection="1">
      <alignment horizontal="right" vertical="center"/>
    </xf>
    <xf numFmtId="177" fontId="1" fillId="0" borderId="6" xfId="0" applyNumberFormat="1" applyFont="1" applyFill="1" applyBorder="1" applyAlignment="1" applyProtection="1">
      <alignment horizontal="right" vertical="center"/>
    </xf>
    <xf numFmtId="177" fontId="1" fillId="0" borderId="23" xfId="1" applyNumberFormat="1" applyFont="1" applyFill="1" applyBorder="1" applyAlignment="1" applyProtection="1">
      <alignment horizontal="right" vertical="center"/>
    </xf>
    <xf numFmtId="177" fontId="1" fillId="0" borderId="31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>
      <alignment vertical="center"/>
    </xf>
    <xf numFmtId="49" fontId="2" fillId="0" borderId="0" xfId="0" applyNumberFormat="1" applyFont="1" applyFill="1" applyBorder="1" applyAlignment="1" applyProtection="1">
      <alignment horizontal="center" vertical="center"/>
    </xf>
    <xf numFmtId="41" fontId="2" fillId="0" borderId="0" xfId="1" applyNumberFormat="1" applyFont="1" applyFill="1" applyBorder="1" applyAlignment="1" applyProtection="1">
      <alignment horizontal="center" vertical="center"/>
    </xf>
    <xf numFmtId="176" fontId="2" fillId="0" borderId="0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176" fontId="2" fillId="0" borderId="18" xfId="0" applyNumberFormat="1" applyFont="1" applyFill="1" applyBorder="1" applyAlignment="1" applyProtection="1">
      <alignment horizontal="left" vertical="center"/>
    </xf>
    <xf numFmtId="176" fontId="2" fillId="0" borderId="17" xfId="0" applyNumberFormat="1" applyFont="1" applyFill="1" applyBorder="1" applyAlignment="1" applyProtection="1">
      <alignment horizontal="left" vertical="center"/>
    </xf>
    <xf numFmtId="0" fontId="2" fillId="0" borderId="19" xfId="0" applyNumberFormat="1" applyFont="1" applyFill="1" applyBorder="1" applyAlignment="1" applyProtection="1">
      <alignment vertical="center"/>
    </xf>
    <xf numFmtId="0" fontId="2" fillId="0" borderId="20" xfId="0" applyNumberFormat="1" applyFont="1" applyFill="1" applyBorder="1" applyAlignment="1" applyProtection="1">
      <alignment vertical="center"/>
    </xf>
    <xf numFmtId="0" fontId="2" fillId="0" borderId="15" xfId="0" applyNumberFormat="1" applyFont="1" applyFill="1" applyBorder="1" applyAlignment="1" applyProtection="1">
      <alignment vertical="center"/>
    </xf>
    <xf numFmtId="0" fontId="2" fillId="0" borderId="16" xfId="0" applyNumberFormat="1" applyFont="1" applyFill="1" applyBorder="1" applyAlignment="1" applyProtection="1">
      <alignment vertical="center"/>
    </xf>
    <xf numFmtId="176" fontId="2" fillId="0" borderId="7" xfId="0" applyNumberFormat="1" applyFont="1" applyFill="1" applyBorder="1" applyAlignment="1" applyProtection="1">
      <alignment horizontal="right" vertical="center"/>
    </xf>
    <xf numFmtId="0" fontId="2" fillId="0" borderId="18" xfId="0" applyNumberFormat="1" applyFont="1" applyFill="1" applyBorder="1" applyAlignment="1" applyProtection="1">
      <alignment vertical="center"/>
    </xf>
    <xf numFmtId="49" fontId="2" fillId="0" borderId="7" xfId="2" applyNumberFormat="1" applyFont="1" applyFill="1" applyBorder="1" applyAlignment="1" applyProtection="1">
      <alignment horizontal="center" vertical="center"/>
    </xf>
    <xf numFmtId="9" fontId="2" fillId="0" borderId="7" xfId="2" applyNumberFormat="1" applyFont="1" applyFill="1" applyBorder="1" applyAlignment="1" applyProtection="1">
      <alignment vertical="center"/>
    </xf>
    <xf numFmtId="49" fontId="2" fillId="0" borderId="18" xfId="0" applyNumberFormat="1" applyFont="1" applyFill="1" applyBorder="1" applyAlignment="1" applyProtection="1">
      <alignment horizontal="center" vertical="center"/>
    </xf>
    <xf numFmtId="10" fontId="2" fillId="0" borderId="7" xfId="2" applyNumberFormat="1" applyFont="1" applyFill="1" applyBorder="1" applyAlignment="1" applyProtection="1">
      <alignment horizontal="right" vertical="center"/>
    </xf>
    <xf numFmtId="49" fontId="2" fillId="0" borderId="7" xfId="0" applyNumberFormat="1" applyFont="1" applyFill="1" applyBorder="1" applyAlignment="1" applyProtection="1">
      <alignment horizontal="center" vertical="center"/>
    </xf>
    <xf numFmtId="176" fontId="2" fillId="0" borderId="7" xfId="1" applyNumberFormat="1" applyFont="1" applyFill="1" applyBorder="1" applyAlignment="1" applyProtection="1">
      <alignment vertical="center"/>
    </xf>
    <xf numFmtId="0" fontId="2" fillId="0" borderId="7" xfId="0" applyNumberFormat="1" applyFont="1" applyFill="1" applyBorder="1" applyAlignment="1" applyProtection="1">
      <alignment horizontal="center" vertical="center"/>
    </xf>
    <xf numFmtId="180" fontId="2" fillId="0" borderId="7" xfId="0" applyNumberFormat="1" applyFont="1" applyFill="1" applyBorder="1" applyAlignment="1" applyProtection="1">
      <alignment vertical="center"/>
    </xf>
    <xf numFmtId="180" fontId="2" fillId="0" borderId="21" xfId="0" applyNumberFormat="1" applyFont="1" applyFill="1" applyBorder="1" applyAlignment="1" applyProtection="1">
      <alignment vertical="center"/>
    </xf>
    <xf numFmtId="41" fontId="2" fillId="0" borderId="7" xfId="1" applyNumberFormat="1" applyFont="1" applyFill="1" applyBorder="1" applyAlignment="1" applyProtection="1">
      <alignment vertical="center"/>
    </xf>
    <xf numFmtId="0" fontId="3" fillId="0" borderId="21" xfId="0" applyNumberFormat="1" applyFont="1" applyFill="1" applyBorder="1" applyAlignment="1" applyProtection="1">
      <alignment vertical="center"/>
    </xf>
    <xf numFmtId="10" fontId="2" fillId="0" borderId="7" xfId="2" applyNumberFormat="1" applyFont="1" applyFill="1" applyBorder="1" applyAlignment="1" applyProtection="1">
      <alignment horizontal="left" vertical="center"/>
    </xf>
    <xf numFmtId="49" fontId="2" fillId="0" borderId="18" xfId="0" applyNumberFormat="1" applyFont="1" applyFill="1" applyBorder="1" applyAlignment="1" applyProtection="1">
      <alignment vertical="center"/>
    </xf>
    <xf numFmtId="49" fontId="2" fillId="0" borderId="19" xfId="0" applyNumberFormat="1" applyFont="1" applyFill="1" applyBorder="1" applyAlignment="1" applyProtection="1">
      <alignment vertical="center"/>
    </xf>
    <xf numFmtId="0" fontId="2" fillId="0" borderId="17" xfId="0" applyNumberFormat="1" applyFont="1" applyFill="1" applyBorder="1" applyAlignment="1" applyProtection="1">
      <alignment vertical="center"/>
    </xf>
    <xf numFmtId="176" fontId="4" fillId="0" borderId="18" xfId="0" applyNumberFormat="1" applyFont="1" applyFill="1" applyBorder="1" applyAlignment="1" applyProtection="1">
      <alignment horizontal="left" vertical="center"/>
    </xf>
    <xf numFmtId="176" fontId="3" fillId="0" borderId="18" xfId="0" applyNumberFormat="1" applyFont="1" applyFill="1" applyBorder="1" applyAlignment="1" applyProtection="1">
      <alignment horizontal="left" vertical="center"/>
    </xf>
    <xf numFmtId="0" fontId="2" fillId="0" borderId="32" xfId="0" applyNumberFormat="1" applyFont="1" applyFill="1" applyBorder="1" applyAlignment="1" applyProtection="1">
      <alignment vertical="center"/>
    </xf>
    <xf numFmtId="0" fontId="2" fillId="0" borderId="33" xfId="0" applyNumberFormat="1" applyFont="1" applyFill="1" applyBorder="1" applyAlignment="1" applyProtection="1">
      <alignment vertical="center"/>
    </xf>
    <xf numFmtId="49" fontId="5" fillId="0" borderId="23" xfId="0" applyNumberFormat="1" applyFont="1" applyFill="1" applyBorder="1" applyAlignment="1" applyProtection="1">
      <alignment horizontal="left" vertical="center"/>
    </xf>
    <xf numFmtId="176" fontId="2" fillId="0" borderId="24" xfId="0" applyNumberFormat="1" applyFont="1" applyFill="1" applyBorder="1" applyAlignment="1" applyProtection="1">
      <alignment horizontal="center" vertical="center"/>
    </xf>
    <xf numFmtId="0" fontId="2" fillId="0" borderId="25" xfId="0" applyNumberFormat="1" applyFont="1" applyFill="1" applyBorder="1" applyAlignment="1" applyProtection="1">
      <alignment vertical="center"/>
    </xf>
    <xf numFmtId="0" fontId="2" fillId="0" borderId="26" xfId="0" applyNumberFormat="1" applyFont="1" applyFill="1" applyBorder="1" applyAlignment="1" applyProtection="1">
      <alignment vertical="center"/>
    </xf>
    <xf numFmtId="0" fontId="2" fillId="0" borderId="2" xfId="0" applyNumberFormat="1" applyFont="1" applyFill="1" applyBorder="1" applyAlignment="1" applyProtection="1">
      <alignment vertical="center"/>
    </xf>
    <xf numFmtId="176" fontId="2" fillId="0" borderId="0" xfId="0" applyNumberFormat="1" applyFont="1" applyFill="1" applyBorder="1" applyAlignment="1" applyProtection="1">
      <alignment horizontal="center" vertical="center"/>
    </xf>
    <xf numFmtId="0" fontId="2" fillId="0" borderId="28" xfId="0" applyNumberFormat="1" applyFont="1" applyFill="1" applyBorder="1" applyAlignment="1" applyProtection="1">
      <alignment vertical="center"/>
    </xf>
    <xf numFmtId="178" fontId="2" fillId="0" borderId="9" xfId="0" applyNumberFormat="1" applyFont="1" applyFill="1" applyBorder="1" applyAlignment="1" applyProtection="1">
      <alignment horizontal="center" vertical="center"/>
    </xf>
    <xf numFmtId="178" fontId="2" fillId="0" borderId="10" xfId="0" applyNumberFormat="1" applyFont="1" applyFill="1" applyBorder="1" applyAlignment="1" applyProtection="1">
      <alignment horizontal="center" vertical="center"/>
    </xf>
    <xf numFmtId="0" fontId="2" fillId="0" borderId="11" xfId="0" applyNumberFormat="1" applyFont="1" applyFill="1" applyBorder="1" applyAlignment="1" applyProtection="1">
      <alignment vertical="center"/>
    </xf>
    <xf numFmtId="0" fontId="2" fillId="0" borderId="12" xfId="0" applyNumberFormat="1" applyFont="1" applyFill="1" applyBorder="1" applyAlignment="1" applyProtection="1">
      <alignment vertical="center"/>
    </xf>
    <xf numFmtId="178" fontId="2" fillId="0" borderId="7" xfId="0" applyNumberFormat="1" applyFont="1" applyFill="1" applyBorder="1" applyAlignment="1" applyProtection="1">
      <alignment horizontal="center" vertical="center"/>
    </xf>
    <xf numFmtId="178" fontId="2" fillId="0" borderId="18" xfId="0" applyNumberFormat="1" applyFont="1" applyFill="1" applyBorder="1" applyAlignment="1" applyProtection="1">
      <alignment horizontal="center" vertical="center"/>
    </xf>
    <xf numFmtId="49" fontId="6" fillId="0" borderId="7" xfId="0" applyNumberFormat="1" applyFont="1" applyFill="1" applyBorder="1" applyAlignment="1" applyProtection="1">
      <alignment horizontal="center" vertical="center"/>
    </xf>
    <xf numFmtId="49" fontId="2" fillId="0" borderId="23" xfId="0" applyNumberFormat="1" applyFont="1" applyFill="1" applyBorder="1" applyAlignment="1" applyProtection="1">
      <alignment horizontal="center" vertical="center"/>
    </xf>
    <xf numFmtId="49" fontId="2" fillId="0" borderId="24" xfId="0" applyNumberFormat="1" applyFont="1" applyFill="1" applyBorder="1" applyAlignment="1" applyProtection="1">
      <alignment horizontal="center" vertical="center"/>
    </xf>
    <xf numFmtId="49" fontId="7" fillId="3" borderId="8" xfId="0" applyNumberFormat="1" applyFont="1" applyFill="1" applyBorder="1" applyAlignment="1" applyProtection="1">
      <alignment horizontal="center" vertical="center"/>
    </xf>
    <xf numFmtId="41" fontId="7" fillId="3" borderId="9" xfId="1" applyNumberFormat="1" applyFont="1" applyFill="1" applyBorder="1" applyAlignment="1" applyProtection="1">
      <alignment horizontal="center" vertical="center"/>
    </xf>
    <xf numFmtId="49" fontId="7" fillId="3" borderId="9" xfId="0" applyNumberFormat="1" applyFont="1" applyFill="1" applyBorder="1" applyAlignment="1" applyProtection="1">
      <alignment horizontal="center" vertical="center"/>
    </xf>
    <xf numFmtId="0" fontId="7" fillId="3" borderId="10" xfId="0" applyNumberFormat="1" applyFont="1" applyFill="1" applyBorder="1" applyAlignment="1" applyProtection="1">
      <alignment horizontal="center" vertical="center"/>
    </xf>
    <xf numFmtId="0" fontId="7" fillId="3" borderId="29" xfId="0" applyNumberFormat="1" applyFont="1" applyFill="1" applyBorder="1" applyAlignment="1" applyProtection="1">
      <alignment horizontal="center" vertical="center"/>
    </xf>
    <xf numFmtId="49" fontId="8" fillId="0" borderId="17" xfId="0" applyNumberFormat="1" applyFont="1" applyFill="1" applyBorder="1" applyAlignment="1" applyProtection="1">
      <alignment horizontal="center" vertical="center"/>
    </xf>
    <xf numFmtId="41" fontId="2" fillId="0" borderId="7" xfId="1" applyNumberFormat="1" applyFont="1" applyFill="1" applyBorder="1" applyAlignment="1" applyProtection="1">
      <alignment horizontal="center" vertical="center"/>
    </xf>
    <xf numFmtId="10" fontId="2" fillId="0" borderId="18" xfId="2" applyNumberFormat="1" applyFont="1" applyFill="1" applyBorder="1" applyAlignment="1" applyProtection="1">
      <alignment vertical="center"/>
    </xf>
    <xf numFmtId="9" fontId="2" fillId="0" borderId="21" xfId="2" applyNumberFormat="1" applyFont="1" applyFill="1" applyBorder="1" applyAlignment="1" applyProtection="1">
      <alignment horizontal="center" vertical="center"/>
    </xf>
    <xf numFmtId="176" fontId="2" fillId="0" borderId="5" xfId="0" applyNumberFormat="1" applyFont="1" applyFill="1" applyBorder="1" applyAlignment="1" applyProtection="1">
      <alignment horizontal="right" vertical="center"/>
    </xf>
    <xf numFmtId="9" fontId="2" fillId="0" borderId="34" xfId="2" applyNumberFormat="1" applyFont="1" applyFill="1" applyBorder="1" applyAlignment="1" applyProtection="1">
      <alignment horizontal="center" vertical="center"/>
    </xf>
    <xf numFmtId="9" fontId="1" fillId="0" borderId="23" xfId="1" applyNumberFormat="1" applyFont="1" applyFill="1" applyBorder="1" applyAlignment="1" applyProtection="1">
      <alignment horizontal="right" vertical="center"/>
    </xf>
    <xf numFmtId="41" fontId="1" fillId="0" borderId="31" xfId="1" applyNumberFormat="1" applyFont="1" applyFill="1" applyBorder="1" applyAlignment="1" applyProtection="1">
      <alignment horizontal="center" vertical="center"/>
    </xf>
    <xf numFmtId="49" fontId="7" fillId="3" borderId="29" xfId="0" applyNumberFormat="1" applyFont="1" applyFill="1" applyBorder="1" applyAlignment="1" applyProtection="1">
      <alignment horizontal="center" vertical="center"/>
    </xf>
    <xf numFmtId="177" fontId="2" fillId="0" borderId="7" xfId="0" applyNumberFormat="1" applyFont="1" applyFill="1" applyBorder="1" applyAlignment="1" applyProtection="1">
      <alignment horizontal="right" vertical="center"/>
    </xf>
    <xf numFmtId="177" fontId="2" fillId="0" borderId="7" xfId="0" applyNumberFormat="1" applyFont="1" applyFill="1" applyBorder="1" applyAlignment="1" applyProtection="1">
      <alignment vertical="center"/>
    </xf>
    <xf numFmtId="0" fontId="2" fillId="0" borderId="21" xfId="0" applyNumberFormat="1" applyFont="1" applyFill="1" applyBorder="1" applyAlignment="1" applyProtection="1">
      <alignment vertical="center"/>
    </xf>
    <xf numFmtId="177" fontId="2" fillId="0" borderId="5" xfId="0" applyNumberFormat="1" applyFont="1" applyFill="1" applyBorder="1" applyAlignment="1" applyProtection="1">
      <alignment horizontal="right" vertical="center"/>
    </xf>
    <xf numFmtId="49" fontId="7" fillId="5" borderId="3" xfId="0" applyNumberFormat="1" applyFont="1" applyFill="1" applyBorder="1" applyAlignment="1" applyProtection="1">
      <alignment horizontal="center" vertical="center"/>
    </xf>
    <xf numFmtId="49" fontId="1" fillId="0" borderId="35" xfId="0" applyNumberFormat="1" applyFont="1" applyFill="1" applyBorder="1" applyAlignment="1" applyProtection="1">
      <alignment horizontal="center" vertical="center"/>
    </xf>
    <xf numFmtId="177" fontId="1" fillId="0" borderId="35" xfId="0" applyNumberFormat="1" applyFont="1" applyFill="1" applyBorder="1" applyAlignment="1" applyProtection="1">
      <alignment horizontal="right" vertical="center"/>
    </xf>
    <xf numFmtId="177" fontId="7" fillId="0" borderId="35" xfId="0" applyNumberFormat="1" applyFont="1" applyFill="1" applyBorder="1" applyAlignment="1" applyProtection="1">
      <alignment horizontal="right" vertical="center"/>
    </xf>
    <xf numFmtId="0" fontId="1" fillId="0" borderId="36" xfId="0" applyNumberFormat="1" applyFont="1" applyFill="1" applyBorder="1" applyAlignment="1" applyProtection="1">
      <alignment vertical="center"/>
    </xf>
    <xf numFmtId="49" fontId="10" fillId="3" borderId="9" xfId="0" applyNumberFormat="1" applyFont="1" applyFill="1" applyBorder="1" applyAlignment="1" applyProtection="1">
      <alignment horizontal="center" vertical="center" wrapText="1"/>
    </xf>
    <xf numFmtId="177" fontId="2" fillId="0" borderId="7" xfId="0" applyNumberFormat="1" applyFont="1" applyFill="1" applyBorder="1" applyAlignment="1" applyProtection="1">
      <alignment horizontal="center" vertical="center"/>
    </xf>
    <xf numFmtId="182" fontId="2" fillId="0" borderId="7" xfId="1" applyNumberFormat="1" applyFont="1" applyFill="1" applyBorder="1" applyAlignment="1" applyProtection="1">
      <alignment horizontal="center" vertical="center"/>
    </xf>
    <xf numFmtId="176" fontId="1" fillId="0" borderId="10" xfId="0" applyNumberFormat="1" applyFont="1" applyFill="1" applyBorder="1" applyAlignment="1" applyProtection="1">
      <alignment vertical="center"/>
    </xf>
    <xf numFmtId="181" fontId="1" fillId="0" borderId="7" xfId="0" applyNumberFormat="1" applyFont="1" applyFill="1" applyBorder="1" applyAlignment="1" applyProtection="1">
      <alignment horizontal="right" vertical="center"/>
    </xf>
    <xf numFmtId="10" fontId="1" fillId="0" borderId="7" xfId="2" applyNumberFormat="1" applyFont="1" applyFill="1" applyBorder="1" applyAlignment="1" applyProtection="1">
      <alignment horizontal="left" vertical="center"/>
    </xf>
    <xf numFmtId="176" fontId="1" fillId="0" borderId="18" xfId="0" applyNumberFormat="1" applyFont="1" applyFill="1" applyBorder="1" applyAlignment="1" applyProtection="1">
      <alignment horizontal="left" vertical="center"/>
    </xf>
    <xf numFmtId="176" fontId="1" fillId="0" borderId="37" xfId="0" applyNumberFormat="1" applyFont="1" applyFill="1" applyBorder="1" applyAlignment="1" applyProtection="1">
      <alignment horizontal="left" vertical="center"/>
    </xf>
    <xf numFmtId="0" fontId="1" fillId="0" borderId="32" xfId="0" applyNumberFormat="1" applyFont="1" applyFill="1" applyBorder="1" applyAlignment="1" applyProtection="1">
      <alignment vertical="center"/>
    </xf>
    <xf numFmtId="0" fontId="1" fillId="0" borderId="33" xfId="0" applyNumberFormat="1" applyFont="1" applyFill="1" applyBorder="1" applyAlignment="1" applyProtection="1">
      <alignment vertical="center"/>
    </xf>
    <xf numFmtId="49" fontId="1" fillId="0" borderId="23" xfId="0" applyNumberFormat="1" applyFont="1" applyFill="1" applyBorder="1" applyAlignment="1" applyProtection="1">
      <alignment horizontal="left" vertical="center"/>
    </xf>
    <xf numFmtId="0" fontId="1" fillId="3" borderId="10" xfId="0" applyNumberFormat="1" applyFont="1" applyFill="1" applyBorder="1" applyAlignment="1" applyProtection="1">
      <alignment horizontal="center" vertical="center"/>
    </xf>
    <xf numFmtId="10" fontId="1" fillId="0" borderId="18" xfId="2" applyNumberFormat="1" applyFont="1" applyFill="1" applyBorder="1" applyAlignment="1" applyProtection="1">
      <alignment vertical="center"/>
    </xf>
    <xf numFmtId="176" fontId="1" fillId="0" borderId="7" xfId="0" applyNumberFormat="1" applyFont="1" applyFill="1" applyBorder="1" applyAlignment="1" applyProtection="1">
      <alignment vertical="center"/>
    </xf>
    <xf numFmtId="9" fontId="1" fillId="0" borderId="34" xfId="2" applyNumberFormat="1" applyFont="1" applyFill="1" applyBorder="1" applyAlignment="1" applyProtection="1">
      <alignment vertical="center"/>
    </xf>
    <xf numFmtId="177" fontId="1" fillId="0" borderId="5" xfId="0" applyNumberFormat="1" applyFont="1" applyFill="1" applyBorder="1" applyAlignment="1" applyProtection="1">
      <alignment horizontal="right" vertical="center"/>
    </xf>
    <xf numFmtId="0" fontId="1" fillId="0" borderId="34" xfId="0" applyNumberFormat="1" applyFont="1" applyFill="1" applyBorder="1" applyAlignment="1" applyProtection="1">
      <alignment vertical="center"/>
    </xf>
    <xf numFmtId="49" fontId="8" fillId="0" borderId="30" xfId="0" applyNumberFormat="1" applyFont="1" applyFill="1" applyBorder="1" applyAlignment="1" applyProtection="1">
      <alignment horizontal="center" vertical="center"/>
    </xf>
    <xf numFmtId="49" fontId="1" fillId="0" borderId="7" xfId="0" applyNumberFormat="1" applyFont="1" applyFill="1" applyBorder="1" applyAlignment="1" applyProtection="1">
      <alignment horizontal="left" vertical="center"/>
    </xf>
    <xf numFmtId="9" fontId="1" fillId="0" borderId="7" xfId="2" applyNumberFormat="1" applyFont="1" applyFill="1" applyBorder="1" applyAlignment="1" applyProtection="1">
      <alignment horizontal="right" vertical="center"/>
    </xf>
    <xf numFmtId="9" fontId="1" fillId="0" borderId="18" xfId="2" applyNumberFormat="1" applyFont="1" applyFill="1" applyBorder="1" applyAlignment="1" applyProtection="1">
      <alignment vertical="center"/>
    </xf>
    <xf numFmtId="9" fontId="1" fillId="0" borderId="24" xfId="2" applyNumberFormat="1" applyFont="1" applyFill="1" applyBorder="1" applyAlignment="1" applyProtection="1">
      <alignment vertical="center"/>
    </xf>
    <xf numFmtId="177" fontId="1" fillId="0" borderId="7" xfId="1" applyNumberFormat="1" applyFont="1" applyFill="1" applyBorder="1" applyAlignment="1" applyProtection="1">
      <alignment horizontal="center" vertical="center"/>
    </xf>
    <xf numFmtId="0" fontId="1" fillId="0" borderId="38" xfId="0" applyNumberFormat="1" applyFont="1" applyFill="1" applyBorder="1" applyAlignment="1" applyProtection="1">
      <alignment vertical="center"/>
    </xf>
    <xf numFmtId="177" fontId="1" fillId="0" borderId="6" xfId="0" applyNumberFormat="1" applyFont="1" applyFill="1" applyBorder="1" applyAlignment="1" applyProtection="1">
      <alignment vertical="center"/>
    </xf>
    <xf numFmtId="177" fontId="1" fillId="0" borderId="23" xfId="1" applyNumberFormat="1" applyFont="1" applyFill="1" applyBorder="1" applyAlignment="1" applyProtection="1">
      <alignment horizontal="center" vertical="center"/>
    </xf>
    <xf numFmtId="183" fontId="1" fillId="0" borderId="0" xfId="0" applyNumberFormat="1" applyFont="1" applyFill="1" applyBorder="1" applyAlignment="1" applyProtection="1">
      <alignment horizontal="center" vertical="center"/>
    </xf>
    <xf numFmtId="177" fontId="1" fillId="0" borderId="5" xfId="0" applyNumberFormat="1" applyFont="1" applyFill="1" applyBorder="1" applyAlignment="1" applyProtection="1">
      <alignment vertical="center"/>
    </xf>
    <xf numFmtId="49" fontId="8" fillId="0" borderId="23" xfId="0" applyNumberFormat="1" applyFont="1" applyFill="1" applyBorder="1" applyAlignment="1" applyProtection="1">
      <alignment horizontal="center" vertical="center"/>
    </xf>
    <xf numFmtId="49" fontId="1" fillId="0" borderId="17" xfId="0" applyNumberFormat="1" applyFont="1" applyFill="1" applyBorder="1" applyAlignment="1" applyProtection="1">
      <alignment horizontal="center" vertical="center" wrapText="1"/>
    </xf>
    <xf numFmtId="49" fontId="2" fillId="0" borderId="18" xfId="0" applyNumberFormat="1" applyFont="1" applyFill="1" applyBorder="1" applyAlignment="1" applyProtection="1">
      <alignment horizontal="left" vertical="center"/>
    </xf>
    <xf numFmtId="182" fontId="2" fillId="0" borderId="23" xfId="1" applyNumberFormat="1" applyFont="1" applyFill="1" applyBorder="1" applyAlignment="1" applyProtection="1">
      <alignment horizontal="center" vertical="center"/>
    </xf>
    <xf numFmtId="177" fontId="2" fillId="0" borderId="23" xfId="0" applyNumberFormat="1" applyFont="1" applyFill="1" applyBorder="1" applyAlignment="1" applyProtection="1">
      <alignment vertical="center"/>
    </xf>
    <xf numFmtId="0" fontId="2" fillId="0" borderId="31" xfId="0" applyNumberFormat="1" applyFont="1" applyFill="1" applyBorder="1" applyAlignment="1" applyProtection="1">
      <alignment vertical="center"/>
    </xf>
    <xf numFmtId="49" fontId="2" fillId="0" borderId="8" xfId="0" applyNumberFormat="1" applyFont="1" applyFill="1" applyBorder="1" applyAlignment="1" applyProtection="1">
      <alignment horizontal="center" vertical="center"/>
    </xf>
    <xf numFmtId="176" fontId="2" fillId="0" borderId="9" xfId="0" applyNumberFormat="1" applyFont="1" applyFill="1" applyBorder="1" applyAlignment="1" applyProtection="1">
      <alignment horizontal="left" vertical="center"/>
    </xf>
    <xf numFmtId="176" fontId="2" fillId="0" borderId="10" xfId="0" applyNumberFormat="1" applyFont="1" applyFill="1" applyBorder="1" applyAlignment="1" applyProtection="1">
      <alignment vertical="center"/>
    </xf>
    <xf numFmtId="49" fontId="2" fillId="0" borderId="13" xfId="0" applyNumberFormat="1" applyFont="1" applyFill="1" applyBorder="1" applyAlignment="1" applyProtection="1">
      <alignment horizontal="center" vertical="center"/>
    </xf>
    <xf numFmtId="49" fontId="2" fillId="0" borderId="17" xfId="0" applyNumberFormat="1" applyFont="1" applyFill="1" applyBorder="1" applyAlignment="1" applyProtection="1">
      <alignment horizontal="center" vertical="center"/>
    </xf>
    <xf numFmtId="49" fontId="2" fillId="0" borderId="22" xfId="0" applyNumberFormat="1" applyFont="1" applyFill="1" applyBorder="1" applyAlignment="1" applyProtection="1">
      <alignment horizontal="center" vertical="center"/>
    </xf>
    <xf numFmtId="176" fontId="6" fillId="0" borderId="18" xfId="0" applyNumberFormat="1" applyFont="1" applyFill="1" applyBorder="1" applyAlignment="1" applyProtection="1">
      <alignment horizontal="left" vertical="center"/>
    </xf>
    <xf numFmtId="176" fontId="6" fillId="0" borderId="37" xfId="0" applyNumberFormat="1" applyFont="1" applyFill="1" applyBorder="1" applyAlignment="1" applyProtection="1">
      <alignment horizontal="left" vertical="center"/>
    </xf>
    <xf numFmtId="49" fontId="6" fillId="0" borderId="23" xfId="0" applyNumberFormat="1" applyFont="1" applyFill="1" applyBorder="1" applyAlignment="1" applyProtection="1">
      <alignment horizontal="left" vertical="center"/>
    </xf>
    <xf numFmtId="49" fontId="2" fillId="0" borderId="27" xfId="0" applyNumberFormat="1" applyFont="1" applyFill="1" applyBorder="1" applyAlignment="1" applyProtection="1">
      <alignment horizontal="center" vertical="center"/>
    </xf>
    <xf numFmtId="49" fontId="2" fillId="0" borderId="9" xfId="0" applyNumberFormat="1" applyFont="1" applyFill="1" applyBorder="1" applyAlignment="1" applyProtection="1">
      <alignment horizontal="center" vertical="center"/>
    </xf>
    <xf numFmtId="49" fontId="9" fillId="3" borderId="8" xfId="0" applyNumberFormat="1" applyFont="1" applyFill="1" applyBorder="1" applyAlignment="1" applyProtection="1">
      <alignment horizontal="center" vertical="center"/>
    </xf>
    <xf numFmtId="41" fontId="9" fillId="3" borderId="9" xfId="1" applyNumberFormat="1" applyFont="1" applyFill="1" applyBorder="1" applyAlignment="1" applyProtection="1">
      <alignment horizontal="center" vertical="center"/>
    </xf>
    <xf numFmtId="49" fontId="9" fillId="3" borderId="9" xfId="0" applyNumberFormat="1" applyFont="1" applyFill="1" applyBorder="1" applyAlignment="1" applyProtection="1">
      <alignment horizontal="center" vertical="center"/>
    </xf>
    <xf numFmtId="0" fontId="9" fillId="3" borderId="10" xfId="0" applyNumberFormat="1" applyFont="1" applyFill="1" applyBorder="1" applyAlignment="1" applyProtection="1">
      <alignment horizontal="center" vertical="center"/>
    </xf>
    <xf numFmtId="0" fontId="9" fillId="3" borderId="29" xfId="0" applyNumberFormat="1" applyFont="1" applyFill="1" applyBorder="1" applyAlignment="1" applyProtection="1">
      <alignment horizontal="center" vertical="center"/>
    </xf>
    <xf numFmtId="176" fontId="2" fillId="0" borderId="7" xfId="0" applyNumberFormat="1" applyFont="1" applyFill="1" applyBorder="1" applyAlignment="1" applyProtection="1">
      <alignment vertical="center"/>
    </xf>
    <xf numFmtId="41" fontId="2" fillId="0" borderId="23" xfId="1" applyNumberFormat="1" applyFont="1" applyFill="1" applyBorder="1" applyAlignment="1" applyProtection="1">
      <alignment horizontal="center" vertical="center"/>
    </xf>
    <xf numFmtId="9" fontId="2" fillId="0" borderId="23" xfId="1" applyNumberFormat="1" applyFont="1" applyFill="1" applyBorder="1" applyAlignment="1" applyProtection="1">
      <alignment horizontal="right" vertical="center"/>
    </xf>
    <xf numFmtId="9" fontId="2" fillId="0" borderId="31" xfId="2" applyNumberFormat="1" applyFont="1" applyFill="1" applyBorder="1" applyAlignment="1" applyProtection="1">
      <alignment horizontal="center" vertical="center"/>
    </xf>
    <xf numFmtId="49" fontId="9" fillId="3" borderId="29" xfId="0" applyNumberFormat="1" applyFont="1" applyFill="1" applyBorder="1" applyAlignment="1" applyProtection="1">
      <alignment horizontal="center" vertical="center"/>
    </xf>
    <xf numFmtId="0" fontId="2" fillId="0" borderId="34" xfId="0" applyNumberFormat="1" applyFont="1" applyFill="1" applyBorder="1" applyAlignment="1" applyProtection="1">
      <alignment vertical="center"/>
    </xf>
    <xf numFmtId="49" fontId="2" fillId="0" borderId="30" xfId="0" applyNumberFormat="1" applyFont="1" applyFill="1" applyBorder="1" applyAlignment="1" applyProtection="1">
      <alignment horizontal="center" vertical="center"/>
    </xf>
    <xf numFmtId="177" fontId="2" fillId="0" borderId="23" xfId="0" applyNumberFormat="1" applyFont="1" applyFill="1" applyBorder="1" applyAlignment="1" applyProtection="1">
      <alignment horizontal="right" vertical="center"/>
    </xf>
    <xf numFmtId="49" fontId="9" fillId="3" borderId="9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left" vertical="center"/>
    </xf>
    <xf numFmtId="9" fontId="1" fillId="0" borderId="21" xfId="2" applyNumberFormat="1" applyFont="1" applyFill="1" applyBorder="1" applyAlignment="1" applyProtection="1">
      <alignment horizontal="center" vertical="center"/>
    </xf>
    <xf numFmtId="9" fontId="1" fillId="0" borderId="31" xfId="2" applyNumberFormat="1" applyFont="1" applyFill="1" applyBorder="1" applyAlignment="1" applyProtection="1">
      <alignment horizontal="center" vertical="center"/>
    </xf>
    <xf numFmtId="49" fontId="1" fillId="5" borderId="3" xfId="0" applyNumberFormat="1" applyFont="1" applyFill="1" applyBorder="1" applyAlignment="1" applyProtection="1">
      <alignment horizontal="center" vertical="center"/>
    </xf>
    <xf numFmtId="49" fontId="1" fillId="5" borderId="35" xfId="0" applyNumberFormat="1" applyFont="1" applyFill="1" applyBorder="1" applyAlignment="1" applyProtection="1">
      <alignment horizontal="center" vertical="center"/>
    </xf>
    <xf numFmtId="177" fontId="1" fillId="5" borderId="35" xfId="0" applyNumberFormat="1" applyFont="1" applyFill="1" applyBorder="1" applyAlignment="1" applyProtection="1">
      <alignment horizontal="right" vertical="center"/>
    </xf>
    <xf numFmtId="0" fontId="1" fillId="5" borderId="36" xfId="0" applyNumberFormat="1" applyFont="1" applyFill="1" applyBorder="1" applyAlignment="1" applyProtection="1">
      <alignment vertical="center"/>
    </xf>
    <xf numFmtId="49" fontId="8" fillId="0" borderId="7" xfId="0" applyNumberFormat="1" applyFont="1" applyFill="1" applyBorder="1" applyAlignment="1" applyProtection="1">
      <alignment horizontal="center" vertical="center"/>
    </xf>
    <xf numFmtId="3" fontId="1" fillId="0" borderId="23" xfId="1" applyNumberFormat="1" applyFont="1" applyFill="1" applyBorder="1" applyAlignment="1" applyProtection="1">
      <alignment horizontal="right" vertical="center"/>
    </xf>
    <xf numFmtId="176" fontId="4" fillId="0" borderId="37" xfId="0" applyNumberFormat="1" applyFont="1" applyFill="1" applyBorder="1" applyAlignment="1" applyProtection="1">
      <alignment horizontal="left" vertical="center"/>
    </xf>
    <xf numFmtId="41" fontId="2" fillId="0" borderId="7" xfId="1" applyNumberFormat="1" applyFont="1" applyFill="1" applyBorder="1" applyAlignment="1" applyProtection="1">
      <alignment horizontal="right" vertical="center"/>
    </xf>
    <xf numFmtId="41" fontId="2" fillId="0" borderId="23" xfId="1" applyNumberFormat="1" applyFont="1" applyFill="1" applyBorder="1" applyAlignment="1" applyProtection="1">
      <alignment horizontal="right" vertical="center"/>
    </xf>
    <xf numFmtId="49" fontId="11" fillId="0" borderId="7" xfId="0" applyNumberFormat="1" applyFont="1" applyFill="1" applyBorder="1" applyAlignment="1" applyProtection="1">
      <alignment horizontal="center" vertical="center"/>
    </xf>
    <xf numFmtId="9" fontId="2" fillId="0" borderId="37" xfId="2" applyNumberFormat="1" applyFont="1" applyFill="1" applyBorder="1" applyAlignment="1" applyProtection="1">
      <alignment horizontal="center" vertical="center"/>
    </xf>
    <xf numFmtId="176" fontId="6" fillId="0" borderId="7" xfId="0" applyNumberFormat="1" applyFont="1" applyFill="1" applyBorder="1" applyAlignment="1" applyProtection="1">
      <alignment horizontal="right" vertical="center"/>
    </xf>
    <xf numFmtId="0" fontId="2" fillId="0" borderId="21" xfId="0" applyNumberFormat="1" applyFont="1" applyFill="1" applyBorder="1" applyAlignment="1" applyProtection="1">
      <alignment horizontal="center" vertical="center"/>
    </xf>
    <xf numFmtId="9" fontId="2" fillId="0" borderId="7" xfId="2" applyNumberFormat="1" applyFont="1" applyFill="1" applyBorder="1" applyAlignment="1" applyProtection="1">
      <alignment horizontal="left" vertical="center"/>
    </xf>
    <xf numFmtId="184" fontId="2" fillId="0" borderId="7" xfId="2" applyNumberFormat="1" applyFont="1" applyFill="1" applyBorder="1" applyAlignment="1" applyProtection="1">
      <alignment vertical="center"/>
    </xf>
    <xf numFmtId="184" fontId="1" fillId="0" borderId="23" xfId="1" applyNumberFormat="1" applyFont="1" applyFill="1" applyBorder="1" applyAlignment="1" applyProtection="1">
      <alignment horizontal="right" vertical="center"/>
    </xf>
    <xf numFmtId="184" fontId="2" fillId="0" borderId="7" xfId="2" applyNumberFormat="1" applyFont="1" applyFill="1" applyBorder="1" applyAlignment="1" applyProtection="1">
      <alignment horizontal="right" vertical="center"/>
    </xf>
    <xf numFmtId="176" fontId="17" fillId="0" borderId="18" xfId="0" applyNumberFormat="1" applyFont="1" applyFill="1" applyBorder="1" applyAlignment="1" applyProtection="1">
      <alignment horizontal="left" vertical="center"/>
    </xf>
    <xf numFmtId="49" fontId="17" fillId="0" borderId="23" xfId="0" applyNumberFormat="1" applyFont="1" applyFill="1" applyBorder="1" applyAlignment="1" applyProtection="1">
      <alignment horizontal="left" vertical="center"/>
    </xf>
    <xf numFmtId="49" fontId="18" fillId="0" borderId="7" xfId="0" applyNumberFormat="1" applyFont="1" applyFill="1" applyBorder="1" applyAlignment="1" applyProtection="1">
      <alignment horizontal="center" vertical="center"/>
    </xf>
    <xf numFmtId="49" fontId="18" fillId="0" borderId="23" xfId="0" applyNumberFormat="1" applyFont="1" applyFill="1" applyBorder="1" applyAlignment="1" applyProtection="1">
      <alignment horizontal="center" vertical="center"/>
    </xf>
    <xf numFmtId="49" fontId="1" fillId="0" borderId="23" xfId="0" applyNumberFormat="1" applyFont="1" applyFill="1" applyBorder="1" applyAlignment="1" applyProtection="1">
      <alignment horizontal="center" vertical="center"/>
    </xf>
    <xf numFmtId="176" fontId="2" fillId="0" borderId="18" xfId="0" applyNumberFormat="1" applyFont="1" applyFill="1" applyBorder="1" applyAlignment="1" applyProtection="1">
      <alignment horizontal="left" vertical="center"/>
    </xf>
    <xf numFmtId="176" fontId="2" fillId="0" borderId="17" xfId="0" applyNumberFormat="1" applyFont="1" applyFill="1" applyBorder="1" applyAlignment="1" applyProtection="1">
      <alignment horizontal="left" vertical="center"/>
    </xf>
    <xf numFmtId="49" fontId="2" fillId="0" borderId="18" xfId="0" applyNumberFormat="1" applyFont="1" applyFill="1" applyBorder="1" applyAlignment="1" applyProtection="1">
      <alignment horizontal="left" vertical="center"/>
    </xf>
    <xf numFmtId="49" fontId="2" fillId="0" borderId="23" xfId="0" applyNumberFormat="1" applyFont="1" applyFill="1" applyBorder="1" applyAlignment="1" applyProtection="1">
      <alignment horizontal="center" vertical="center"/>
    </xf>
    <xf numFmtId="176" fontId="19" fillId="0" borderId="18" xfId="0" applyNumberFormat="1" applyFont="1" applyFill="1" applyBorder="1" applyAlignment="1" applyProtection="1">
      <alignment horizontal="left" vertical="center"/>
    </xf>
    <xf numFmtId="180" fontId="20" fillId="0" borderId="7" xfId="0" applyNumberFormat="1" applyFont="1" applyFill="1" applyBorder="1" applyAlignment="1" applyProtection="1">
      <alignment vertical="center"/>
    </xf>
    <xf numFmtId="9" fontId="20" fillId="0" borderId="21" xfId="2" applyNumberFormat="1" applyFont="1" applyFill="1" applyBorder="1" applyAlignment="1" applyProtection="1">
      <alignment vertical="center"/>
    </xf>
    <xf numFmtId="10" fontId="2" fillId="0" borderId="21" xfId="2" applyNumberFormat="1" applyFont="1" applyFill="1" applyBorder="1" applyAlignment="1" applyProtection="1">
      <alignment vertical="center"/>
    </xf>
    <xf numFmtId="9" fontId="1" fillId="0" borderId="31" xfId="1" applyNumberFormat="1" applyFont="1" applyFill="1" applyBorder="1" applyAlignment="1" applyProtection="1">
      <alignment horizontal="right" vertical="center"/>
    </xf>
    <xf numFmtId="177" fontId="2" fillId="0" borderId="23" xfId="0" applyNumberFormat="1" applyFont="1" applyFill="1" applyBorder="1" applyAlignment="1" applyProtection="1">
      <alignment horizontal="center" vertical="center"/>
    </xf>
    <xf numFmtId="49" fontId="1" fillId="8" borderId="8" xfId="0" applyNumberFormat="1" applyFont="1" applyFill="1" applyBorder="1" applyAlignment="1" applyProtection="1">
      <alignment horizontal="center" vertical="center"/>
    </xf>
    <xf numFmtId="41" fontId="1" fillId="8" borderId="9" xfId="1" applyNumberFormat="1" applyFont="1" applyFill="1" applyBorder="1" applyAlignment="1" applyProtection="1">
      <alignment horizontal="center" vertical="center"/>
    </xf>
    <xf numFmtId="49" fontId="1" fillId="8" borderId="9" xfId="0" applyNumberFormat="1" applyFont="1" applyFill="1" applyBorder="1" applyAlignment="1" applyProtection="1">
      <alignment horizontal="center" vertical="center"/>
    </xf>
    <xf numFmtId="0" fontId="1" fillId="8" borderId="29" xfId="0" applyNumberFormat="1" applyFont="1" applyFill="1" applyBorder="1" applyAlignment="1" applyProtection="1">
      <alignment horizontal="center" vertical="center"/>
    </xf>
    <xf numFmtId="49" fontId="1" fillId="8" borderId="10" xfId="0" applyNumberFormat="1" applyFont="1" applyFill="1" applyBorder="1" applyAlignment="1" applyProtection="1">
      <alignment horizontal="center" vertical="center"/>
    </xf>
    <xf numFmtId="49" fontId="1" fillId="8" borderId="29" xfId="0" applyNumberFormat="1" applyFont="1" applyFill="1" applyBorder="1" applyAlignment="1" applyProtection="1">
      <alignment horizontal="center" vertical="center"/>
    </xf>
    <xf numFmtId="49" fontId="1" fillId="8" borderId="9" xfId="0" applyNumberFormat="1" applyFont="1" applyFill="1" applyBorder="1" applyAlignment="1" applyProtection="1">
      <alignment horizontal="center" vertical="center" wrapText="1"/>
    </xf>
    <xf numFmtId="49" fontId="1" fillId="8" borderId="10" xfId="0" applyNumberFormat="1" applyFont="1" applyFill="1" applyBorder="1" applyAlignment="1" applyProtection="1">
      <alignment horizontal="center" vertical="center" wrapText="1"/>
    </xf>
    <xf numFmtId="176" fontId="1" fillId="7" borderId="7" xfId="0" applyNumberFormat="1" applyFont="1" applyFill="1" applyBorder="1" applyAlignment="1" applyProtection="1">
      <alignment horizontal="right" vertical="center"/>
    </xf>
    <xf numFmtId="179" fontId="1" fillId="7" borderId="7" xfId="0" applyNumberFormat="1" applyFont="1" applyFill="1" applyBorder="1" applyAlignment="1" applyProtection="1">
      <alignment vertical="center"/>
    </xf>
    <xf numFmtId="9" fontId="1" fillId="7" borderId="7" xfId="2" applyNumberFormat="1" applyFont="1" applyFill="1" applyBorder="1" applyAlignment="1" applyProtection="1">
      <alignment vertical="center"/>
    </xf>
    <xf numFmtId="177" fontId="1" fillId="7" borderId="7" xfId="0" applyNumberFormat="1" applyFont="1" applyFill="1" applyBorder="1" applyAlignment="1" applyProtection="1">
      <alignment vertical="center"/>
    </xf>
    <xf numFmtId="177" fontId="1" fillId="7" borderId="7" xfId="0" applyNumberFormat="1" applyFont="1" applyFill="1" applyBorder="1" applyAlignment="1" applyProtection="1">
      <alignment horizontal="right" vertical="center"/>
    </xf>
    <xf numFmtId="177" fontId="1" fillId="7" borderId="6" xfId="0" applyNumberFormat="1" applyFont="1" applyFill="1" applyBorder="1" applyAlignment="1" applyProtection="1">
      <alignment horizontal="right" vertical="center"/>
    </xf>
    <xf numFmtId="177" fontId="1" fillId="7" borderId="23" xfId="0" applyNumberFormat="1" applyFont="1" applyFill="1" applyBorder="1" applyAlignment="1" applyProtection="1">
      <alignment horizontal="right" vertical="center"/>
    </xf>
    <xf numFmtId="0" fontId="22" fillId="0" borderId="0" xfId="0" applyNumberFormat="1" applyFont="1" applyFill="1" applyBorder="1" applyAlignment="1" applyProtection="1">
      <alignment vertical="center"/>
    </xf>
    <xf numFmtId="49" fontId="23" fillId="0" borderId="8" xfId="0" applyNumberFormat="1" applyFont="1" applyFill="1" applyBorder="1" applyAlignment="1" applyProtection="1">
      <alignment horizontal="center" vertical="center"/>
    </xf>
    <xf numFmtId="49" fontId="23" fillId="0" borderId="13" xfId="0" applyNumberFormat="1" applyFont="1" applyFill="1" applyBorder="1" applyAlignment="1" applyProtection="1">
      <alignment horizontal="center" vertical="center"/>
    </xf>
    <xf numFmtId="176" fontId="22" fillId="0" borderId="18" xfId="0" applyNumberFormat="1" applyFont="1" applyFill="1" applyBorder="1" applyAlignment="1" applyProtection="1">
      <alignment horizontal="left" vertical="center"/>
    </xf>
    <xf numFmtId="0" fontId="22" fillId="0" borderId="19" xfId="0" applyNumberFormat="1" applyFont="1" applyFill="1" applyBorder="1" applyAlignment="1" applyProtection="1">
      <alignment vertical="center"/>
    </xf>
    <xf numFmtId="0" fontId="22" fillId="0" borderId="20" xfId="0" applyNumberFormat="1" applyFont="1" applyFill="1" applyBorder="1" applyAlignment="1" applyProtection="1">
      <alignment vertical="center"/>
    </xf>
    <xf numFmtId="0" fontId="22" fillId="0" borderId="15" xfId="0" applyNumberFormat="1" applyFont="1" applyFill="1" applyBorder="1" applyAlignment="1" applyProtection="1">
      <alignment vertical="center"/>
    </xf>
    <xf numFmtId="0" fontId="22" fillId="0" borderId="16" xfId="0" applyNumberFormat="1" applyFont="1" applyFill="1" applyBorder="1" applyAlignment="1" applyProtection="1">
      <alignment vertical="center"/>
    </xf>
    <xf numFmtId="49" fontId="23" fillId="0" borderId="17" xfId="0" applyNumberFormat="1" applyFont="1" applyFill="1" applyBorder="1" applyAlignment="1" applyProtection="1">
      <alignment horizontal="center" vertical="center"/>
    </xf>
    <xf numFmtId="176" fontId="22" fillId="0" borderId="7" xfId="0" applyNumberFormat="1" applyFont="1" applyFill="1" applyBorder="1" applyAlignment="1" applyProtection="1">
      <alignment horizontal="right" vertical="center"/>
    </xf>
    <xf numFmtId="179" fontId="23" fillId="7" borderId="7" xfId="0" applyNumberFormat="1" applyFont="1" applyFill="1" applyBorder="1" applyAlignment="1" applyProtection="1">
      <alignment vertical="center"/>
    </xf>
    <xf numFmtId="0" fontId="22" fillId="0" borderId="18" xfId="0" applyNumberFormat="1" applyFont="1" applyFill="1" applyBorder="1" applyAlignment="1" applyProtection="1">
      <alignment vertical="center"/>
    </xf>
    <xf numFmtId="49" fontId="22" fillId="0" borderId="7" xfId="2" applyNumberFormat="1" applyFont="1" applyFill="1" applyBorder="1" applyAlignment="1" applyProtection="1">
      <alignment horizontal="center" vertical="center"/>
    </xf>
    <xf numFmtId="9" fontId="22" fillId="0" borderId="7" xfId="2" applyNumberFormat="1" applyFont="1" applyFill="1" applyBorder="1" applyAlignment="1" applyProtection="1">
      <alignment vertical="center"/>
    </xf>
    <xf numFmtId="176" fontId="23" fillId="7" borderId="7" xfId="0" applyNumberFormat="1" applyFont="1" applyFill="1" applyBorder="1" applyAlignment="1" applyProtection="1">
      <alignment horizontal="right" vertical="center"/>
    </xf>
    <xf numFmtId="9" fontId="23" fillId="7" borderId="7" xfId="2" applyNumberFormat="1" applyFont="1" applyFill="1" applyBorder="1" applyAlignment="1" applyProtection="1">
      <alignment vertical="center"/>
    </xf>
    <xf numFmtId="49" fontId="22" fillId="0" borderId="18" xfId="0" applyNumberFormat="1" applyFont="1" applyFill="1" applyBorder="1" applyAlignment="1" applyProtection="1">
      <alignment horizontal="center" vertical="center"/>
    </xf>
    <xf numFmtId="10" fontId="22" fillId="0" borderId="7" xfId="2" applyNumberFormat="1" applyFont="1" applyFill="1" applyBorder="1" applyAlignment="1" applyProtection="1">
      <alignment horizontal="right" vertical="center"/>
    </xf>
    <xf numFmtId="49" fontId="22" fillId="0" borderId="7" xfId="0" applyNumberFormat="1" applyFont="1" applyFill="1" applyBorder="1" applyAlignment="1" applyProtection="1">
      <alignment horizontal="center" vertical="center"/>
    </xf>
    <xf numFmtId="10" fontId="22" fillId="0" borderId="7" xfId="2" applyNumberFormat="1" applyFont="1" applyFill="1" applyBorder="1" applyAlignment="1" applyProtection="1">
      <alignment horizontal="left" vertical="center"/>
    </xf>
    <xf numFmtId="49" fontId="22" fillId="0" borderId="18" xfId="0" applyNumberFormat="1" applyFont="1" applyFill="1" applyBorder="1" applyAlignment="1" applyProtection="1">
      <alignment vertical="center"/>
    </xf>
    <xf numFmtId="49" fontId="22" fillId="0" borderId="19" xfId="0" applyNumberFormat="1" applyFont="1" applyFill="1" applyBorder="1" applyAlignment="1" applyProtection="1">
      <alignment vertical="center"/>
    </xf>
    <xf numFmtId="49" fontId="23" fillId="0" borderId="22" xfId="0" applyNumberFormat="1" applyFont="1" applyFill="1" applyBorder="1" applyAlignment="1" applyProtection="1">
      <alignment horizontal="center" vertical="center"/>
    </xf>
    <xf numFmtId="176" fontId="25" fillId="0" borderId="18" xfId="0" applyNumberFormat="1" applyFont="1" applyFill="1" applyBorder="1" applyAlignment="1" applyProtection="1">
      <alignment horizontal="left" vertical="center"/>
    </xf>
    <xf numFmtId="0" fontId="22" fillId="0" borderId="32" xfId="0" applyNumberFormat="1" applyFont="1" applyFill="1" applyBorder="1" applyAlignment="1" applyProtection="1">
      <alignment vertical="center"/>
    </xf>
    <xf numFmtId="0" fontId="22" fillId="0" borderId="33" xfId="0" applyNumberFormat="1" applyFont="1" applyFill="1" applyBorder="1" applyAlignment="1" applyProtection="1">
      <alignment vertical="center"/>
    </xf>
    <xf numFmtId="0" fontId="22" fillId="0" borderId="25" xfId="0" applyNumberFormat="1" applyFont="1" applyFill="1" applyBorder="1" applyAlignment="1" applyProtection="1">
      <alignment vertical="center"/>
    </xf>
    <xf numFmtId="0" fontId="22" fillId="0" borderId="26" xfId="0" applyNumberFormat="1" applyFont="1" applyFill="1" applyBorder="1" applyAlignment="1" applyProtection="1">
      <alignment vertical="center"/>
    </xf>
    <xf numFmtId="0" fontId="22" fillId="0" borderId="2" xfId="0" applyNumberFormat="1" applyFont="1" applyFill="1" applyBorder="1" applyAlignment="1" applyProtection="1">
      <alignment vertical="center"/>
    </xf>
    <xf numFmtId="49" fontId="23" fillId="0" borderId="27" xfId="0" applyNumberFormat="1" applyFont="1" applyFill="1" applyBorder="1" applyAlignment="1" applyProtection="1">
      <alignment horizontal="center" vertical="center"/>
    </xf>
    <xf numFmtId="176" fontId="22" fillId="0" borderId="0" xfId="0" applyNumberFormat="1" applyFont="1" applyFill="1" applyBorder="1" applyAlignment="1" applyProtection="1">
      <alignment horizontal="center" vertical="center"/>
    </xf>
    <xf numFmtId="0" fontId="22" fillId="0" borderId="28" xfId="0" applyNumberFormat="1" applyFont="1" applyFill="1" applyBorder="1" applyAlignment="1" applyProtection="1">
      <alignment vertical="center"/>
    </xf>
    <xf numFmtId="49" fontId="23" fillId="0" borderId="9" xfId="0" applyNumberFormat="1" applyFont="1" applyFill="1" applyBorder="1" applyAlignment="1" applyProtection="1">
      <alignment horizontal="center" vertical="center"/>
    </xf>
    <xf numFmtId="178" fontId="22" fillId="0" borderId="9" xfId="0" applyNumberFormat="1" applyFont="1" applyFill="1" applyBorder="1" applyAlignment="1" applyProtection="1">
      <alignment horizontal="center" vertical="center"/>
    </xf>
    <xf numFmtId="178" fontId="22" fillId="0" borderId="10" xfId="0" applyNumberFormat="1" applyFont="1" applyFill="1" applyBorder="1" applyAlignment="1" applyProtection="1">
      <alignment horizontal="center" vertical="center"/>
    </xf>
    <xf numFmtId="0" fontId="22" fillId="0" borderId="11" xfId="0" applyNumberFormat="1" applyFont="1" applyFill="1" applyBorder="1" applyAlignment="1" applyProtection="1">
      <alignment vertical="center"/>
    </xf>
    <xf numFmtId="0" fontId="22" fillId="0" borderId="12" xfId="0" applyNumberFormat="1" applyFont="1" applyFill="1" applyBorder="1" applyAlignment="1" applyProtection="1">
      <alignment vertical="center"/>
    </xf>
    <xf numFmtId="49" fontId="23" fillId="0" borderId="7" xfId="0" applyNumberFormat="1" applyFont="1" applyFill="1" applyBorder="1" applyAlignment="1" applyProtection="1">
      <alignment horizontal="center" vertical="center"/>
    </xf>
    <xf numFmtId="178" fontId="22" fillId="0" borderId="7" xfId="0" applyNumberFormat="1" applyFont="1" applyFill="1" applyBorder="1" applyAlignment="1" applyProtection="1">
      <alignment horizontal="center" vertical="center"/>
    </xf>
    <xf numFmtId="178" fontId="22" fillId="0" borderId="18" xfId="0" applyNumberFormat="1" applyFont="1" applyFill="1" applyBorder="1" applyAlignment="1" applyProtection="1">
      <alignment horizontal="center" vertical="center"/>
    </xf>
    <xf numFmtId="49" fontId="22" fillId="0" borderId="23" xfId="0" applyNumberFormat="1" applyFont="1" applyFill="1" applyBorder="1" applyAlignment="1" applyProtection="1">
      <alignment horizontal="center" vertical="center"/>
    </xf>
    <xf numFmtId="49" fontId="22" fillId="0" borderId="24" xfId="0" applyNumberFormat="1" applyFont="1" applyFill="1" applyBorder="1" applyAlignment="1" applyProtection="1">
      <alignment horizontal="center" vertical="center"/>
    </xf>
    <xf numFmtId="41" fontId="23" fillId="0" borderId="0" xfId="1" applyNumberFormat="1" applyFont="1" applyFill="1" applyBorder="1" applyAlignment="1" applyProtection="1">
      <alignment horizontal="center" vertical="center"/>
    </xf>
    <xf numFmtId="176" fontId="22" fillId="0" borderId="0" xfId="0" applyNumberFormat="1" applyFont="1" applyFill="1" applyBorder="1" applyAlignment="1" applyProtection="1">
      <alignment horizontal="right" vertical="center"/>
    </xf>
    <xf numFmtId="49" fontId="23" fillId="8" borderId="8" xfId="0" applyNumberFormat="1" applyFont="1" applyFill="1" applyBorder="1" applyAlignment="1" applyProtection="1">
      <alignment horizontal="center" vertical="center"/>
    </xf>
    <xf numFmtId="41" fontId="23" fillId="8" borderId="9" xfId="1" applyNumberFormat="1" applyFont="1" applyFill="1" applyBorder="1" applyAlignment="1" applyProtection="1">
      <alignment horizontal="center" vertical="center"/>
    </xf>
    <xf numFmtId="49" fontId="23" fillId="8" borderId="9" xfId="0" applyNumberFormat="1" applyFont="1" applyFill="1" applyBorder="1" applyAlignment="1" applyProtection="1">
      <alignment horizontal="center" vertical="center"/>
    </xf>
    <xf numFmtId="0" fontId="23" fillId="8" borderId="10" xfId="0" applyNumberFormat="1" applyFont="1" applyFill="1" applyBorder="1" applyAlignment="1" applyProtection="1">
      <alignment horizontal="center" vertical="center"/>
    </xf>
    <xf numFmtId="0" fontId="23" fillId="8" borderId="29" xfId="0" applyNumberFormat="1" applyFont="1" applyFill="1" applyBorder="1" applyAlignment="1" applyProtection="1">
      <alignment horizontal="center" vertical="center"/>
    </xf>
    <xf numFmtId="0" fontId="22" fillId="0" borderId="0" xfId="0" applyNumberFormat="1" applyFont="1" applyFill="1" applyBorder="1" applyAlignment="1" applyProtection="1">
      <alignment horizontal="center" vertical="center"/>
    </xf>
    <xf numFmtId="49" fontId="27" fillId="0" borderId="17" xfId="0" applyNumberFormat="1" applyFont="1" applyFill="1" applyBorder="1" applyAlignment="1" applyProtection="1">
      <alignment horizontal="center" vertical="center"/>
    </xf>
    <xf numFmtId="41" fontId="22" fillId="0" borderId="7" xfId="1" applyNumberFormat="1" applyFont="1" applyFill="1" applyBorder="1" applyAlignment="1" applyProtection="1">
      <alignment horizontal="center" vertical="center"/>
    </xf>
    <xf numFmtId="10" fontId="22" fillId="0" borderId="18" xfId="2" applyNumberFormat="1" applyFont="1" applyFill="1" applyBorder="1" applyAlignment="1" applyProtection="1">
      <alignment vertical="center"/>
    </xf>
    <xf numFmtId="9" fontId="22" fillId="0" borderId="21" xfId="2" applyNumberFormat="1" applyFont="1" applyFill="1" applyBorder="1" applyAlignment="1" applyProtection="1">
      <alignment horizontal="center" vertical="center"/>
    </xf>
    <xf numFmtId="176" fontId="22" fillId="0" borderId="5" xfId="0" applyNumberFormat="1" applyFont="1" applyFill="1" applyBorder="1" applyAlignment="1" applyProtection="1">
      <alignment horizontal="right" vertical="center"/>
    </xf>
    <xf numFmtId="9" fontId="22" fillId="0" borderId="34" xfId="2" applyNumberFormat="1" applyFont="1" applyFill="1" applyBorder="1" applyAlignment="1" applyProtection="1">
      <alignment horizontal="center" vertical="center"/>
    </xf>
    <xf numFmtId="41" fontId="23" fillId="0" borderId="23" xfId="1" applyNumberFormat="1" applyFont="1" applyFill="1" applyBorder="1" applyAlignment="1" applyProtection="1">
      <alignment horizontal="center" vertical="center"/>
    </xf>
    <xf numFmtId="9" fontId="23" fillId="0" borderId="23" xfId="1" applyNumberFormat="1" applyFont="1" applyFill="1" applyBorder="1" applyAlignment="1" applyProtection="1">
      <alignment horizontal="right" vertical="center"/>
    </xf>
    <xf numFmtId="41" fontId="23" fillId="0" borderId="31" xfId="1" applyNumberFormat="1" applyFont="1" applyFill="1" applyBorder="1" applyAlignment="1" applyProtection="1">
      <alignment horizontal="center" vertical="center"/>
    </xf>
    <xf numFmtId="49" fontId="23" fillId="8" borderId="10" xfId="0" applyNumberFormat="1" applyFont="1" applyFill="1" applyBorder="1" applyAlignment="1" applyProtection="1">
      <alignment horizontal="center" vertical="center"/>
    </xf>
    <xf numFmtId="49" fontId="23" fillId="8" borderId="29" xfId="0" applyNumberFormat="1" applyFont="1" applyFill="1" applyBorder="1" applyAlignment="1" applyProtection="1">
      <alignment horizontal="center" vertical="center"/>
    </xf>
    <xf numFmtId="49" fontId="22" fillId="0" borderId="0" xfId="0" applyNumberFormat="1" applyFont="1" applyFill="1" applyBorder="1" applyAlignment="1" applyProtection="1">
      <alignment horizontal="center" vertical="center"/>
    </xf>
    <xf numFmtId="177" fontId="22" fillId="0" borderId="7" xfId="0" applyNumberFormat="1" applyFont="1" applyFill="1" applyBorder="1" applyAlignment="1" applyProtection="1">
      <alignment horizontal="right" vertical="center"/>
    </xf>
    <xf numFmtId="177" fontId="22" fillId="0" borderId="7" xfId="0" applyNumberFormat="1" applyFont="1" applyFill="1" applyBorder="1" applyAlignment="1" applyProtection="1">
      <alignment vertical="center"/>
    </xf>
    <xf numFmtId="0" fontId="22" fillId="0" borderId="21" xfId="0" applyNumberFormat="1" applyFont="1" applyFill="1" applyBorder="1" applyAlignment="1" applyProtection="1">
      <alignment vertical="center"/>
    </xf>
    <xf numFmtId="177" fontId="22" fillId="0" borderId="5" xfId="0" applyNumberFormat="1" applyFont="1" applyFill="1" applyBorder="1" applyAlignment="1" applyProtection="1">
      <alignment horizontal="right" vertical="center"/>
    </xf>
    <xf numFmtId="49" fontId="23" fillId="5" borderId="3" xfId="0" applyNumberFormat="1" applyFont="1" applyFill="1" applyBorder="1" applyAlignment="1" applyProtection="1">
      <alignment horizontal="center" vertical="center"/>
    </xf>
    <xf numFmtId="49" fontId="23" fillId="0" borderId="35" xfId="0" applyNumberFormat="1" applyFont="1" applyFill="1" applyBorder="1" applyAlignment="1" applyProtection="1">
      <alignment horizontal="center" vertical="center"/>
    </xf>
    <xf numFmtId="177" fontId="23" fillId="0" borderId="35" xfId="0" applyNumberFormat="1" applyFont="1" applyFill="1" applyBorder="1" applyAlignment="1" applyProtection="1">
      <alignment horizontal="right" vertical="center"/>
    </xf>
    <xf numFmtId="0" fontId="23" fillId="0" borderId="36" xfId="0" applyNumberFormat="1" applyFont="1" applyFill="1" applyBorder="1" applyAlignment="1" applyProtection="1">
      <alignment vertical="center"/>
    </xf>
    <xf numFmtId="49" fontId="28" fillId="8" borderId="9" xfId="0" applyNumberFormat="1" applyFont="1" applyFill="1" applyBorder="1" applyAlignment="1" applyProtection="1">
      <alignment horizontal="center" vertical="center" wrapText="1"/>
    </xf>
    <xf numFmtId="49" fontId="23" fillId="8" borderId="9" xfId="0" applyNumberFormat="1" applyFont="1" applyFill="1" applyBorder="1" applyAlignment="1" applyProtection="1">
      <alignment horizontal="center" vertical="center" wrapText="1"/>
    </xf>
    <xf numFmtId="177" fontId="22" fillId="0" borderId="7" xfId="0" applyNumberFormat="1" applyFont="1" applyFill="1" applyBorder="1" applyAlignment="1" applyProtection="1">
      <alignment horizontal="center" vertical="center"/>
    </xf>
    <xf numFmtId="182" fontId="22" fillId="0" borderId="7" xfId="1" applyNumberFormat="1" applyFont="1" applyFill="1" applyBorder="1" applyAlignment="1" applyProtection="1">
      <alignment horizontal="center" vertical="center"/>
    </xf>
    <xf numFmtId="41" fontId="22" fillId="0" borderId="0" xfId="1" applyNumberFormat="1" applyFont="1" applyFill="1" applyBorder="1" applyAlignment="1" applyProtection="1">
      <alignment horizontal="center" vertical="center"/>
    </xf>
    <xf numFmtId="49" fontId="22" fillId="0" borderId="0" xfId="0" applyNumberFormat="1" applyFont="1" applyFill="1" applyBorder="1" applyAlignment="1" applyProtection="1">
      <alignment vertical="center"/>
    </xf>
    <xf numFmtId="177" fontId="22" fillId="7" borderId="7" xfId="0" applyNumberFormat="1" applyFont="1" applyFill="1" applyBorder="1" applyAlignment="1" applyProtection="1">
      <alignment vertical="center"/>
    </xf>
    <xf numFmtId="177" fontId="22" fillId="7" borderId="7" xfId="0" applyNumberFormat="1" applyFont="1" applyFill="1" applyBorder="1" applyAlignment="1" applyProtection="1">
      <alignment horizontal="right" vertical="center"/>
    </xf>
    <xf numFmtId="176" fontId="22" fillId="0" borderId="19" xfId="0" applyNumberFormat="1" applyFont="1" applyFill="1" applyBorder="1" applyAlignment="1" applyProtection="1">
      <alignment horizontal="left" vertical="center"/>
    </xf>
    <xf numFmtId="10" fontId="22" fillId="0" borderId="18" xfId="2" applyNumberFormat="1" applyFont="1" applyFill="1" applyBorder="1" applyAlignment="1" applyProtection="1">
      <alignment horizontal="left" vertical="center"/>
    </xf>
    <xf numFmtId="176" fontId="26" fillId="0" borderId="19" xfId="0" applyNumberFormat="1" applyFont="1" applyFill="1" applyBorder="1" applyAlignment="1" applyProtection="1">
      <alignment horizontal="left" vertical="center"/>
    </xf>
    <xf numFmtId="176" fontId="25" fillId="0" borderId="19" xfId="0" applyNumberFormat="1" applyFont="1" applyFill="1" applyBorder="1" applyAlignment="1" applyProtection="1">
      <alignment horizontal="left" vertical="center"/>
    </xf>
    <xf numFmtId="176" fontId="22" fillId="0" borderId="25" xfId="0" applyNumberFormat="1" applyFont="1" applyFill="1" applyBorder="1" applyAlignment="1" applyProtection="1">
      <alignment horizontal="center" vertical="center"/>
    </xf>
    <xf numFmtId="49" fontId="25" fillId="0" borderId="24" xfId="0" applyNumberFormat="1" applyFont="1" applyFill="1" applyBorder="1" applyAlignment="1" applyProtection="1">
      <alignment horizontal="left" vertical="center"/>
    </xf>
    <xf numFmtId="176" fontId="22" fillId="0" borderId="18" xfId="0" applyNumberFormat="1" applyFont="1" applyFill="1" applyBorder="1" applyAlignment="1" applyProtection="1">
      <alignment horizontal="right" vertical="center"/>
    </xf>
    <xf numFmtId="49" fontId="22" fillId="0" borderId="19" xfId="0" applyNumberFormat="1" applyFont="1" applyFill="1" applyBorder="1" applyAlignment="1" applyProtection="1">
      <alignment horizontal="center" vertical="center"/>
    </xf>
    <xf numFmtId="0" fontId="29" fillId="0" borderId="2" xfId="0" applyNumberFormat="1" applyFont="1" applyFill="1" applyBorder="1" applyAlignment="1" applyProtection="1">
      <alignment vertical="center"/>
    </xf>
    <xf numFmtId="49" fontId="20" fillId="5" borderId="3" xfId="0" applyNumberFormat="1" applyFont="1" applyFill="1" applyBorder="1" applyAlignment="1" applyProtection="1">
      <alignment horizontal="center" vertical="center"/>
    </xf>
    <xf numFmtId="0" fontId="29" fillId="0" borderId="0" xfId="0" applyNumberFormat="1" applyFont="1" applyFill="1" applyBorder="1" applyAlignment="1" applyProtection="1">
      <alignment vertical="center"/>
    </xf>
    <xf numFmtId="49" fontId="20" fillId="8" borderId="8" xfId="0" applyNumberFormat="1" applyFont="1" applyFill="1" applyBorder="1" applyAlignment="1" applyProtection="1">
      <alignment horizontal="center" vertical="center"/>
    </xf>
    <xf numFmtId="41" fontId="20" fillId="8" borderId="9" xfId="1" applyNumberFormat="1" applyFont="1" applyFill="1" applyBorder="1" applyAlignment="1" applyProtection="1">
      <alignment horizontal="center" vertical="center"/>
    </xf>
    <xf numFmtId="49" fontId="20" fillId="8" borderId="9" xfId="0" applyNumberFormat="1" applyFont="1" applyFill="1" applyBorder="1" applyAlignment="1" applyProtection="1">
      <alignment horizontal="center" vertical="center"/>
    </xf>
    <xf numFmtId="0" fontId="20" fillId="8" borderId="10" xfId="0" applyNumberFormat="1" applyFont="1" applyFill="1" applyBorder="1" applyAlignment="1" applyProtection="1">
      <alignment horizontal="center" vertical="center"/>
    </xf>
    <xf numFmtId="0" fontId="20" fillId="8" borderId="29" xfId="0" applyNumberFormat="1" applyFont="1" applyFill="1" applyBorder="1" applyAlignment="1" applyProtection="1">
      <alignment horizontal="center" vertical="center"/>
    </xf>
    <xf numFmtId="49" fontId="20" fillId="8" borderId="10" xfId="0" applyNumberFormat="1" applyFont="1" applyFill="1" applyBorder="1" applyAlignment="1" applyProtection="1">
      <alignment horizontal="center" vertical="center"/>
    </xf>
    <xf numFmtId="49" fontId="20" fillId="8" borderId="29" xfId="0" applyNumberFormat="1" applyFont="1" applyFill="1" applyBorder="1" applyAlignment="1" applyProtection="1">
      <alignment horizontal="center" vertical="center"/>
    </xf>
    <xf numFmtId="49" fontId="30" fillId="8" borderId="9" xfId="0" applyNumberFormat="1" applyFont="1" applyFill="1" applyBorder="1" applyAlignment="1" applyProtection="1">
      <alignment horizontal="center" vertical="center" wrapText="1"/>
    </xf>
    <xf numFmtId="49" fontId="20" fillId="8" borderId="9" xfId="0" applyNumberFormat="1" applyFont="1" applyFill="1" applyBorder="1" applyAlignment="1" applyProtection="1">
      <alignment horizontal="center" vertical="center" wrapText="1"/>
    </xf>
    <xf numFmtId="177" fontId="29" fillId="9" borderId="7" xfId="0" applyNumberFormat="1" applyFont="1" applyFill="1" applyBorder="1" applyAlignment="1" applyProtection="1">
      <alignment vertical="center"/>
    </xf>
    <xf numFmtId="177" fontId="29" fillId="9" borderId="7" xfId="0" applyNumberFormat="1" applyFont="1" applyFill="1" applyBorder="1" applyAlignment="1" applyProtection="1">
      <alignment horizontal="right" vertical="center"/>
    </xf>
    <xf numFmtId="179" fontId="20" fillId="9" borderId="7" xfId="0" applyNumberFormat="1" applyFont="1" applyFill="1" applyBorder="1" applyAlignment="1" applyProtection="1">
      <alignment vertical="center"/>
    </xf>
    <xf numFmtId="176" fontId="20" fillId="9" borderId="7" xfId="0" applyNumberFormat="1" applyFont="1" applyFill="1" applyBorder="1" applyAlignment="1" applyProtection="1">
      <alignment horizontal="right" vertical="center"/>
    </xf>
    <xf numFmtId="9" fontId="20" fillId="9" borderId="7" xfId="2" applyNumberFormat="1" applyFont="1" applyFill="1" applyBorder="1" applyAlignment="1" applyProtection="1">
      <alignment vertical="center"/>
    </xf>
    <xf numFmtId="179" fontId="20" fillId="7" borderId="7" xfId="0" applyNumberFormat="1" applyFont="1" applyFill="1" applyBorder="1" applyAlignment="1" applyProtection="1">
      <alignment vertical="center"/>
    </xf>
    <xf numFmtId="176" fontId="20" fillId="7" borderId="7" xfId="0" applyNumberFormat="1" applyFont="1" applyFill="1" applyBorder="1" applyAlignment="1" applyProtection="1">
      <alignment horizontal="right" vertical="center"/>
    </xf>
    <xf numFmtId="9" fontId="20" fillId="7" borderId="7" xfId="2" applyNumberFormat="1" applyFont="1" applyFill="1" applyBorder="1" applyAlignment="1" applyProtection="1">
      <alignment vertical="center"/>
    </xf>
    <xf numFmtId="177" fontId="29" fillId="7" borderId="7" xfId="0" applyNumberFormat="1" applyFont="1" applyFill="1" applyBorder="1" applyAlignment="1" applyProtection="1">
      <alignment vertical="center"/>
    </xf>
    <xf numFmtId="177" fontId="29" fillId="7" borderId="23" xfId="0" applyNumberFormat="1" applyFont="1" applyFill="1" applyBorder="1" applyAlignment="1" applyProtection="1">
      <alignment vertical="center"/>
    </xf>
    <xf numFmtId="0" fontId="32" fillId="0" borderId="21" xfId="0" applyNumberFormat="1" applyFont="1" applyFill="1" applyBorder="1" applyAlignment="1" applyProtection="1">
      <alignment vertical="center" wrapText="1"/>
    </xf>
    <xf numFmtId="176" fontId="3" fillId="0" borderId="24" xfId="0" applyNumberFormat="1" applyFont="1" applyFill="1" applyBorder="1" applyAlignment="1" applyProtection="1">
      <alignment horizontal="left" vertical="center"/>
    </xf>
    <xf numFmtId="177" fontId="1" fillId="7" borderId="23" xfId="0" applyNumberFormat="1" applyFont="1" applyFill="1" applyBorder="1" applyAlignment="1" applyProtection="1">
      <alignment vertical="center"/>
    </xf>
    <xf numFmtId="9" fontId="29" fillId="0" borderId="21" xfId="2" applyNumberFormat="1" applyFont="1" applyFill="1" applyBorder="1" applyAlignment="1" applyProtection="1">
      <alignment vertical="center"/>
    </xf>
    <xf numFmtId="177" fontId="29" fillId="9" borderId="23" xfId="0" applyNumberFormat="1" applyFont="1" applyFill="1" applyBorder="1" applyAlignment="1" applyProtection="1">
      <alignment vertical="center"/>
    </xf>
    <xf numFmtId="0" fontId="1" fillId="8" borderId="10" xfId="0" applyNumberFormat="1" applyFont="1" applyFill="1" applyBorder="1" applyAlignment="1" applyProtection="1">
      <alignment horizontal="center" vertical="center"/>
    </xf>
    <xf numFmtId="177" fontId="2" fillId="0" borderId="0" xfId="0" applyNumberFormat="1" applyFont="1" applyFill="1" applyBorder="1" applyAlignment="1" applyProtection="1">
      <alignment vertical="center"/>
    </xf>
    <xf numFmtId="185" fontId="2" fillId="0" borderId="0" xfId="0" applyNumberFormat="1" applyFont="1" applyFill="1" applyBorder="1" applyAlignment="1" applyProtection="1">
      <alignment vertical="center"/>
    </xf>
    <xf numFmtId="177" fontId="29" fillId="0" borderId="7" xfId="0" applyNumberFormat="1" applyFont="1" applyFill="1" applyBorder="1" applyAlignment="1" applyProtection="1">
      <alignment vertical="center"/>
    </xf>
    <xf numFmtId="177" fontId="1" fillId="7" borderId="6" xfId="0" applyNumberFormat="1" applyFont="1" applyFill="1" applyBorder="1" applyAlignment="1" applyProtection="1">
      <alignment vertical="center"/>
    </xf>
    <xf numFmtId="179" fontId="36" fillId="7" borderId="7" xfId="0" applyNumberFormat="1" applyFont="1" applyFill="1" applyBorder="1" applyAlignment="1" applyProtection="1">
      <alignment vertical="center"/>
    </xf>
    <xf numFmtId="176" fontId="36" fillId="7" borderId="7" xfId="0" applyNumberFormat="1" applyFont="1" applyFill="1" applyBorder="1" applyAlignment="1" applyProtection="1">
      <alignment horizontal="right" vertical="center"/>
    </xf>
    <xf numFmtId="9" fontId="36" fillId="7" borderId="7" xfId="2" applyNumberFormat="1" applyFont="1" applyFill="1" applyBorder="1" applyAlignment="1" applyProtection="1">
      <alignment vertical="center"/>
    </xf>
    <xf numFmtId="177" fontId="1" fillId="7" borderId="5" xfId="0" applyNumberFormat="1" applyFont="1" applyFill="1" applyBorder="1" applyAlignment="1" applyProtection="1">
      <alignment vertical="center"/>
    </xf>
    <xf numFmtId="49" fontId="1" fillId="0" borderId="18" xfId="0" applyNumberFormat="1" applyFont="1" applyFill="1" applyBorder="1" applyAlignment="1" applyProtection="1">
      <alignment horizontal="left" vertical="center"/>
    </xf>
    <xf numFmtId="177" fontId="29" fillId="0" borderId="23" xfId="0" applyNumberFormat="1" applyFont="1" applyFill="1" applyBorder="1" applyAlignment="1" applyProtection="1">
      <alignment vertical="center"/>
    </xf>
    <xf numFmtId="0" fontId="2" fillId="0" borderId="0" xfId="3" applyNumberFormat="1" applyFont="1" applyFill="1" applyBorder="1" applyAlignment="1" applyProtection="1">
      <alignment vertical="center"/>
    </xf>
    <xf numFmtId="49" fontId="1" fillId="0" borderId="8" xfId="3" applyNumberFormat="1" applyFont="1" applyFill="1" applyBorder="1" applyAlignment="1" applyProtection="1">
      <alignment horizontal="center" vertical="center"/>
    </xf>
    <xf numFmtId="49" fontId="1" fillId="0" borderId="13" xfId="3" applyNumberFormat="1" applyFont="1" applyFill="1" applyBorder="1" applyAlignment="1" applyProtection="1">
      <alignment horizontal="center" vertical="center"/>
    </xf>
    <xf numFmtId="176" fontId="2" fillId="0" borderId="18" xfId="3" applyNumberFormat="1" applyFont="1" applyFill="1" applyBorder="1" applyAlignment="1" applyProtection="1">
      <alignment horizontal="left" vertical="center"/>
    </xf>
    <xf numFmtId="176" fontId="2" fillId="0" borderId="17" xfId="3" applyNumberFormat="1" applyFont="1" applyFill="1" applyBorder="1" applyAlignment="1" applyProtection="1">
      <alignment horizontal="left" vertical="center"/>
    </xf>
    <xf numFmtId="0" fontId="2" fillId="0" borderId="19" xfId="3" applyNumberFormat="1" applyFont="1" applyFill="1" applyBorder="1" applyAlignment="1" applyProtection="1">
      <alignment vertical="center"/>
    </xf>
    <xf numFmtId="0" fontId="2" fillId="0" borderId="20" xfId="3" applyNumberFormat="1" applyFont="1" applyFill="1" applyBorder="1" applyAlignment="1" applyProtection="1">
      <alignment vertical="center"/>
    </xf>
    <xf numFmtId="0" fontId="2" fillId="0" borderId="15" xfId="3" applyNumberFormat="1" applyFont="1" applyFill="1" applyBorder="1" applyAlignment="1" applyProtection="1">
      <alignment vertical="center"/>
    </xf>
    <xf numFmtId="0" fontId="2" fillId="0" borderId="16" xfId="3" applyNumberFormat="1" applyFont="1" applyFill="1" applyBorder="1" applyAlignment="1" applyProtection="1">
      <alignment vertical="center"/>
    </xf>
    <xf numFmtId="49" fontId="1" fillId="0" borderId="17" xfId="3" applyNumberFormat="1" applyFont="1" applyFill="1" applyBorder="1" applyAlignment="1" applyProtection="1">
      <alignment horizontal="center" vertical="center"/>
    </xf>
    <xf numFmtId="176" fontId="2" fillId="0" borderId="7" xfId="3" applyNumberFormat="1" applyFont="1" applyFill="1" applyBorder="1" applyAlignment="1" applyProtection="1">
      <alignment horizontal="right" vertical="center"/>
    </xf>
    <xf numFmtId="179" fontId="20" fillId="7" borderId="7" xfId="3" applyNumberFormat="1" applyFont="1" applyFill="1" applyBorder="1" applyAlignment="1" applyProtection="1">
      <alignment vertical="center"/>
    </xf>
    <xf numFmtId="0" fontId="2" fillId="0" borderId="18" xfId="3" applyNumberFormat="1" applyFont="1" applyFill="1" applyBorder="1" applyAlignment="1" applyProtection="1">
      <alignment vertical="center"/>
    </xf>
    <xf numFmtId="176" fontId="20" fillId="7" borderId="7" xfId="3" applyNumberFormat="1" applyFont="1" applyFill="1" applyBorder="1" applyAlignment="1" applyProtection="1">
      <alignment horizontal="right" vertical="center"/>
    </xf>
    <xf numFmtId="49" fontId="2" fillId="0" borderId="18" xfId="3" applyNumberFormat="1" applyFont="1" applyFill="1" applyBorder="1" applyAlignment="1" applyProtection="1">
      <alignment horizontal="left" vertical="center"/>
    </xf>
    <xf numFmtId="49" fontId="2" fillId="0" borderId="7" xfId="3" applyNumberFormat="1" applyFont="1" applyFill="1" applyBorder="1" applyAlignment="1" applyProtection="1">
      <alignment horizontal="center" vertical="center"/>
    </xf>
    <xf numFmtId="0" fontId="2" fillId="0" borderId="7" xfId="3" applyNumberFormat="1" applyFont="1" applyFill="1" applyBorder="1" applyAlignment="1" applyProtection="1">
      <alignment horizontal="center" vertical="center"/>
    </xf>
    <xf numFmtId="180" fontId="2" fillId="0" borderId="7" xfId="3" applyNumberFormat="1" applyFont="1" applyFill="1" applyBorder="1" applyAlignment="1" applyProtection="1">
      <alignment vertical="center"/>
    </xf>
    <xf numFmtId="180" fontId="2" fillId="0" borderId="21" xfId="3" applyNumberFormat="1" applyFont="1" applyFill="1" applyBorder="1" applyAlignment="1" applyProtection="1">
      <alignment vertical="center"/>
    </xf>
    <xf numFmtId="180" fontId="1" fillId="0" borderId="7" xfId="3" applyNumberFormat="1" applyFont="1" applyFill="1" applyBorder="1" applyAlignment="1" applyProtection="1">
      <alignment vertical="center"/>
    </xf>
    <xf numFmtId="0" fontId="3" fillId="0" borderId="21" xfId="3" applyNumberFormat="1" applyFont="1" applyFill="1" applyBorder="1" applyAlignment="1" applyProtection="1">
      <alignment vertical="center"/>
    </xf>
    <xf numFmtId="49" fontId="2" fillId="0" borderId="18" xfId="3" applyNumberFormat="1" applyFont="1" applyFill="1" applyBorder="1" applyAlignment="1" applyProtection="1">
      <alignment vertical="center"/>
    </xf>
    <xf numFmtId="49" fontId="2" fillId="0" borderId="19" xfId="3" applyNumberFormat="1" applyFont="1" applyFill="1" applyBorder="1" applyAlignment="1" applyProtection="1">
      <alignment vertical="center"/>
    </xf>
    <xf numFmtId="0" fontId="2" fillId="0" borderId="17" xfId="3" applyNumberFormat="1" applyFont="1" applyFill="1" applyBorder="1" applyAlignment="1" applyProtection="1">
      <alignment vertical="center"/>
    </xf>
    <xf numFmtId="49" fontId="1" fillId="0" borderId="22" xfId="3" applyNumberFormat="1" applyFont="1" applyFill="1" applyBorder="1" applyAlignment="1" applyProtection="1">
      <alignment horizontal="center" vertical="center"/>
    </xf>
    <xf numFmtId="176" fontId="19" fillId="0" borderId="18" xfId="3" applyNumberFormat="1" applyFont="1" applyFill="1" applyBorder="1" applyAlignment="1" applyProtection="1">
      <alignment horizontal="left" vertical="center"/>
    </xf>
    <xf numFmtId="176" fontId="3" fillId="0" borderId="18" xfId="3" applyNumberFormat="1" applyFont="1" applyFill="1" applyBorder="1" applyAlignment="1" applyProtection="1">
      <alignment horizontal="left" vertical="center"/>
    </xf>
    <xf numFmtId="0" fontId="2" fillId="0" borderId="32" xfId="3" applyNumberFormat="1" applyFont="1" applyFill="1" applyBorder="1" applyAlignment="1" applyProtection="1">
      <alignment vertical="center"/>
    </xf>
    <xf numFmtId="0" fontId="2" fillId="0" borderId="33" xfId="3" applyNumberFormat="1" applyFont="1" applyFill="1" applyBorder="1" applyAlignment="1" applyProtection="1">
      <alignment vertical="center"/>
    </xf>
    <xf numFmtId="176" fontId="3" fillId="0" borderId="24" xfId="3" applyNumberFormat="1" applyFont="1" applyFill="1" applyBorder="1" applyAlignment="1" applyProtection="1">
      <alignment horizontal="left" vertical="center"/>
    </xf>
    <xf numFmtId="0" fontId="2" fillId="0" borderId="25" xfId="3" applyNumberFormat="1" applyFont="1" applyFill="1" applyBorder="1" applyAlignment="1" applyProtection="1">
      <alignment vertical="center"/>
    </xf>
    <xf numFmtId="0" fontId="2" fillId="0" borderId="26" xfId="3" applyNumberFormat="1" applyFont="1" applyFill="1" applyBorder="1" applyAlignment="1" applyProtection="1">
      <alignment vertical="center"/>
    </xf>
    <xf numFmtId="0" fontId="2" fillId="0" borderId="2" xfId="3" applyNumberFormat="1" applyFont="1" applyFill="1" applyBorder="1" applyAlignment="1" applyProtection="1">
      <alignment vertical="center"/>
    </xf>
    <xf numFmtId="49" fontId="1" fillId="0" borderId="27" xfId="3" applyNumberFormat="1" applyFont="1" applyFill="1" applyBorder="1" applyAlignment="1" applyProtection="1">
      <alignment horizontal="center" vertical="center"/>
    </xf>
    <xf numFmtId="176" fontId="2" fillId="0" borderId="0" xfId="3" applyNumberFormat="1" applyFont="1" applyFill="1" applyBorder="1" applyAlignment="1" applyProtection="1">
      <alignment horizontal="center" vertical="center"/>
    </xf>
    <xf numFmtId="0" fontId="2" fillId="0" borderId="28" xfId="3" applyNumberFormat="1" applyFont="1" applyFill="1" applyBorder="1" applyAlignment="1" applyProtection="1">
      <alignment vertical="center"/>
    </xf>
    <xf numFmtId="49" fontId="1" fillId="0" borderId="9" xfId="3" applyNumberFormat="1" applyFont="1" applyFill="1" applyBorder="1" applyAlignment="1" applyProtection="1">
      <alignment horizontal="center" vertical="center"/>
    </xf>
    <xf numFmtId="178" fontId="2" fillId="0" borderId="9" xfId="3" applyNumberFormat="1" applyFont="1" applyFill="1" applyBorder="1" applyAlignment="1" applyProtection="1">
      <alignment horizontal="center" vertical="center"/>
    </xf>
    <xf numFmtId="178" fontId="2" fillId="0" borderId="10" xfId="3" applyNumberFormat="1" applyFont="1" applyFill="1" applyBorder="1" applyAlignment="1" applyProtection="1">
      <alignment horizontal="center" vertical="center"/>
    </xf>
    <xf numFmtId="0" fontId="2" fillId="0" borderId="11" xfId="3" applyNumberFormat="1" applyFont="1" applyFill="1" applyBorder="1" applyAlignment="1" applyProtection="1">
      <alignment vertical="center"/>
    </xf>
    <xf numFmtId="0" fontId="2" fillId="0" borderId="12" xfId="3" applyNumberFormat="1" applyFont="1" applyFill="1" applyBorder="1" applyAlignment="1" applyProtection="1">
      <alignment vertical="center"/>
    </xf>
    <xf numFmtId="49" fontId="1" fillId="0" borderId="7" xfId="3" applyNumberFormat="1" applyFont="1" applyFill="1" applyBorder="1" applyAlignment="1" applyProtection="1">
      <alignment horizontal="center" vertical="center"/>
    </xf>
    <xf numFmtId="178" fontId="2" fillId="0" borderId="7" xfId="3" applyNumberFormat="1" applyFont="1" applyFill="1" applyBorder="1" applyAlignment="1" applyProtection="1">
      <alignment horizontal="center" vertical="center"/>
    </xf>
    <xf numFmtId="178" fontId="2" fillId="0" borderId="18" xfId="3" applyNumberFormat="1" applyFont="1" applyFill="1" applyBorder="1" applyAlignment="1" applyProtection="1">
      <alignment horizontal="center" vertical="center"/>
    </xf>
    <xf numFmtId="49" fontId="2" fillId="0" borderId="18" xfId="3" applyNumberFormat="1" applyFont="1" applyFill="1" applyBorder="1" applyAlignment="1" applyProtection="1">
      <alignment horizontal="center" vertical="center"/>
    </xf>
    <xf numFmtId="49" fontId="2" fillId="0" borderId="23" xfId="3" applyNumberFormat="1" applyFont="1" applyFill="1" applyBorder="1" applyAlignment="1" applyProtection="1">
      <alignment horizontal="center" vertical="center"/>
    </xf>
    <xf numFmtId="49" fontId="2" fillId="0" borderId="24" xfId="3" applyNumberFormat="1" applyFont="1" applyFill="1" applyBorder="1" applyAlignment="1" applyProtection="1">
      <alignment horizontal="center" vertical="center"/>
    </xf>
    <xf numFmtId="176" fontId="2" fillId="0" borderId="0" xfId="3" applyNumberFormat="1" applyFont="1" applyFill="1" applyBorder="1" applyAlignment="1" applyProtection="1">
      <alignment horizontal="right" vertical="center"/>
    </xf>
    <xf numFmtId="49" fontId="20" fillId="8" borderId="8" xfId="3" applyNumberFormat="1" applyFont="1" applyFill="1" applyBorder="1" applyAlignment="1" applyProtection="1">
      <alignment horizontal="center" vertical="center"/>
    </xf>
    <xf numFmtId="49" fontId="20" fillId="8" borderId="9" xfId="3" applyNumberFormat="1" applyFont="1" applyFill="1" applyBorder="1" applyAlignment="1" applyProtection="1">
      <alignment horizontal="center" vertical="center"/>
    </xf>
    <xf numFmtId="0" fontId="20" fillId="8" borderId="10" xfId="3" applyNumberFormat="1" applyFont="1" applyFill="1" applyBorder="1" applyAlignment="1" applyProtection="1">
      <alignment horizontal="center" vertical="center"/>
    </xf>
    <xf numFmtId="0" fontId="20" fillId="8" borderId="29" xfId="3" applyNumberFormat="1" applyFont="1" applyFill="1" applyBorder="1" applyAlignment="1" applyProtection="1">
      <alignment horizontal="center" vertical="center"/>
    </xf>
    <xf numFmtId="0" fontId="2" fillId="0" borderId="0" xfId="3" applyNumberFormat="1" applyFont="1" applyFill="1" applyBorder="1" applyAlignment="1" applyProtection="1">
      <alignment horizontal="center" vertical="center"/>
    </xf>
    <xf numFmtId="49" fontId="8" fillId="0" borderId="17" xfId="3" applyNumberFormat="1" applyFont="1" applyFill="1" applyBorder="1" applyAlignment="1" applyProtection="1">
      <alignment horizontal="center" vertical="center"/>
    </xf>
    <xf numFmtId="49" fontId="20" fillId="8" borderId="10" xfId="3" applyNumberFormat="1" applyFont="1" applyFill="1" applyBorder="1" applyAlignment="1" applyProtection="1">
      <alignment horizontal="center" vertical="center"/>
    </xf>
    <xf numFmtId="49" fontId="20" fillId="8" borderId="29" xfId="3" applyNumberFormat="1" applyFont="1" applyFill="1" applyBorder="1" applyAlignment="1" applyProtection="1">
      <alignment horizontal="center" vertical="center"/>
    </xf>
    <xf numFmtId="49" fontId="2" fillId="0" borderId="0" xfId="3" applyNumberFormat="1" applyFont="1" applyFill="1" applyBorder="1" applyAlignment="1" applyProtection="1">
      <alignment horizontal="center" vertical="center"/>
    </xf>
    <xf numFmtId="177" fontId="2" fillId="0" borderId="7" xfId="3" applyNumberFormat="1" applyFont="1" applyFill="1" applyBorder="1" applyAlignment="1" applyProtection="1">
      <alignment horizontal="right" vertical="center"/>
    </xf>
    <xf numFmtId="177" fontId="29" fillId="7" borderId="7" xfId="3" applyNumberFormat="1" applyFont="1" applyFill="1" applyBorder="1" applyAlignment="1" applyProtection="1">
      <alignment vertical="center"/>
    </xf>
    <xf numFmtId="0" fontId="2" fillId="0" borderId="21" xfId="3" applyNumberFormat="1" applyFont="1" applyFill="1" applyBorder="1" applyAlignment="1" applyProtection="1">
      <alignment vertical="center"/>
    </xf>
    <xf numFmtId="0" fontId="32" fillId="0" borderId="21" xfId="3" applyNumberFormat="1" applyFont="1" applyFill="1" applyBorder="1" applyAlignment="1" applyProtection="1">
      <alignment vertical="center" wrapText="1"/>
    </xf>
    <xf numFmtId="49" fontId="7" fillId="5" borderId="3" xfId="3" applyNumberFormat="1" applyFont="1" applyFill="1" applyBorder="1" applyAlignment="1" applyProtection="1">
      <alignment horizontal="center" vertical="center"/>
    </xf>
    <xf numFmtId="49" fontId="1" fillId="0" borderId="35" xfId="3" applyNumberFormat="1" applyFont="1" applyFill="1" applyBorder="1" applyAlignment="1" applyProtection="1">
      <alignment horizontal="center" vertical="center"/>
    </xf>
    <xf numFmtId="177" fontId="1" fillId="0" borderId="35" xfId="3" applyNumberFormat="1" applyFont="1" applyFill="1" applyBorder="1" applyAlignment="1" applyProtection="1">
      <alignment horizontal="right" vertical="center"/>
    </xf>
    <xf numFmtId="177" fontId="7" fillId="0" borderId="35" xfId="3" applyNumberFormat="1" applyFont="1" applyFill="1" applyBorder="1" applyAlignment="1" applyProtection="1">
      <alignment horizontal="right" vertical="center"/>
    </xf>
    <xf numFmtId="0" fontId="1" fillId="0" borderId="36" xfId="3" applyNumberFormat="1" applyFont="1" applyFill="1" applyBorder="1" applyAlignment="1" applyProtection="1">
      <alignment vertical="center"/>
    </xf>
    <xf numFmtId="49" fontId="30" fillId="8" borderId="9" xfId="3" applyNumberFormat="1" applyFont="1" applyFill="1" applyBorder="1" applyAlignment="1" applyProtection="1">
      <alignment horizontal="center" vertical="center" wrapText="1"/>
    </xf>
    <xf numFmtId="49" fontId="20" fillId="8" borderId="9" xfId="3" applyNumberFormat="1" applyFont="1" applyFill="1" applyBorder="1" applyAlignment="1" applyProtection="1">
      <alignment horizontal="center" vertical="center" wrapText="1"/>
    </xf>
    <xf numFmtId="177" fontId="2" fillId="0" borderId="7" xfId="3" applyNumberFormat="1" applyFont="1" applyFill="1" applyBorder="1" applyAlignment="1" applyProtection="1">
      <alignment horizontal="center" vertical="center"/>
    </xf>
    <xf numFmtId="177" fontId="2" fillId="0" borderId="7" xfId="3" applyNumberFormat="1" applyFont="1" applyFill="1" applyBorder="1" applyAlignment="1" applyProtection="1">
      <alignment vertical="center"/>
    </xf>
    <xf numFmtId="176" fontId="1" fillId="9" borderId="7" xfId="0" applyNumberFormat="1" applyFont="1" applyFill="1" applyBorder="1" applyAlignment="1" applyProtection="1">
      <alignment horizontal="right" vertical="center"/>
    </xf>
    <xf numFmtId="9" fontId="1" fillId="9" borderId="7" xfId="2" applyNumberFormat="1" applyFont="1" applyFill="1" applyBorder="1" applyAlignment="1" applyProtection="1">
      <alignment vertical="center"/>
    </xf>
    <xf numFmtId="179" fontId="1" fillId="9" borderId="7" xfId="0" applyNumberFormat="1" applyFont="1" applyFill="1" applyBorder="1" applyAlignment="1" applyProtection="1">
      <alignment vertical="center"/>
    </xf>
    <xf numFmtId="49" fontId="1" fillId="7" borderId="9" xfId="0" applyNumberFormat="1" applyFont="1" applyFill="1" applyBorder="1" applyAlignment="1" applyProtection="1">
      <alignment horizontal="center" vertical="center"/>
    </xf>
    <xf numFmtId="49" fontId="1" fillId="7" borderId="10" xfId="0" applyNumberFormat="1" applyFont="1" applyFill="1" applyBorder="1" applyAlignment="1" applyProtection="1">
      <alignment horizontal="center" vertical="center"/>
    </xf>
    <xf numFmtId="49" fontId="1" fillId="7" borderId="9" xfId="0" applyNumberFormat="1" applyFont="1" applyFill="1" applyBorder="1" applyAlignment="1" applyProtection="1">
      <alignment horizontal="center" vertical="center" wrapText="1"/>
    </xf>
    <xf numFmtId="49" fontId="1" fillId="7" borderId="10" xfId="0" applyNumberFormat="1" applyFont="1" applyFill="1" applyBorder="1" applyAlignment="1" applyProtection="1">
      <alignment horizontal="center" vertical="center" wrapText="1"/>
    </xf>
    <xf numFmtId="49" fontId="29" fillId="0" borderId="7" xfId="0" applyNumberFormat="1" applyFont="1" applyFill="1" applyBorder="1" applyAlignment="1" applyProtection="1">
      <alignment horizontal="center" vertical="center"/>
    </xf>
    <xf numFmtId="176" fontId="29" fillId="0" borderId="7" xfId="1" applyNumberFormat="1" applyFont="1" applyFill="1" applyBorder="1" applyAlignment="1" applyProtection="1">
      <alignment vertical="center"/>
    </xf>
    <xf numFmtId="0" fontId="29" fillId="0" borderId="7" xfId="0" applyNumberFormat="1" applyFont="1" applyFill="1" applyBorder="1" applyAlignment="1" applyProtection="1">
      <alignment horizontal="center" vertical="center"/>
    </xf>
    <xf numFmtId="180" fontId="29" fillId="0" borderId="18" xfId="0" applyNumberFormat="1" applyFont="1" applyFill="1" applyBorder="1" applyAlignment="1" applyProtection="1">
      <alignment vertical="center"/>
    </xf>
    <xf numFmtId="180" fontId="29" fillId="0" borderId="20" xfId="0" applyNumberFormat="1" applyFont="1" applyFill="1" applyBorder="1" applyAlignment="1" applyProtection="1">
      <alignment vertical="center"/>
    </xf>
    <xf numFmtId="41" fontId="29" fillId="0" borderId="7" xfId="1" applyNumberFormat="1" applyFont="1" applyFill="1" applyBorder="1" applyAlignment="1" applyProtection="1">
      <alignment vertical="center"/>
    </xf>
    <xf numFmtId="0" fontId="38" fillId="0" borderId="20" xfId="0" applyNumberFormat="1" applyFont="1" applyFill="1" applyBorder="1" applyAlignment="1" applyProtection="1">
      <alignment vertical="center"/>
    </xf>
    <xf numFmtId="0" fontId="29" fillId="0" borderId="18" xfId="0" applyNumberFormat="1" applyFont="1" applyFill="1" applyBorder="1" applyAlignment="1" applyProtection="1">
      <alignment vertical="center"/>
    </xf>
    <xf numFmtId="0" fontId="29" fillId="0" borderId="19" xfId="0" applyNumberFormat="1" applyFont="1" applyFill="1" applyBorder="1" applyAlignment="1" applyProtection="1">
      <alignment vertical="center"/>
    </xf>
    <xf numFmtId="49" fontId="29" fillId="7" borderId="9" xfId="0" applyNumberFormat="1" applyFont="1" applyFill="1" applyBorder="1" applyAlignment="1" applyProtection="1">
      <alignment horizontal="center" vertical="center"/>
    </xf>
    <xf numFmtId="49" fontId="29" fillId="7" borderId="10" xfId="0" applyNumberFormat="1" applyFont="1" applyFill="1" applyBorder="1" applyAlignment="1" applyProtection="1">
      <alignment horizontal="center" vertical="center"/>
    </xf>
    <xf numFmtId="49" fontId="29" fillId="7" borderId="9" xfId="0" applyNumberFormat="1" applyFont="1" applyFill="1" applyBorder="1" applyAlignment="1" applyProtection="1">
      <alignment horizontal="center" vertical="center" wrapText="1"/>
    </xf>
    <xf numFmtId="0" fontId="29" fillId="7" borderId="23" xfId="0" applyNumberFormat="1" applyFont="1" applyFill="1" applyBorder="1" applyAlignment="1" applyProtection="1">
      <alignment vertical="center"/>
    </xf>
    <xf numFmtId="179" fontId="29" fillId="7" borderId="7" xfId="0" applyNumberFormat="1" applyFont="1" applyFill="1" applyBorder="1" applyAlignment="1" applyProtection="1">
      <alignment vertical="center"/>
    </xf>
    <xf numFmtId="176" fontId="29" fillId="7" borderId="7" xfId="0" applyNumberFormat="1" applyFont="1" applyFill="1" applyBorder="1" applyAlignment="1" applyProtection="1">
      <alignment horizontal="right" vertical="center"/>
    </xf>
    <xf numFmtId="9" fontId="29" fillId="7" borderId="7" xfId="2" applyNumberFormat="1" applyFont="1" applyFill="1" applyBorder="1" applyAlignment="1" applyProtection="1">
      <alignment vertical="center"/>
    </xf>
    <xf numFmtId="180" fontId="29" fillId="0" borderId="7" xfId="0" applyNumberFormat="1" applyFont="1" applyFill="1" applyBorder="1" applyAlignment="1" applyProtection="1">
      <alignment vertical="center"/>
    </xf>
    <xf numFmtId="49" fontId="20" fillId="7" borderId="9" xfId="0" applyNumberFormat="1" applyFont="1" applyFill="1" applyBorder="1" applyAlignment="1" applyProtection="1">
      <alignment horizontal="center" vertical="center"/>
    </xf>
    <xf numFmtId="49" fontId="20" fillId="7" borderId="10" xfId="0" applyNumberFormat="1" applyFont="1" applyFill="1" applyBorder="1" applyAlignment="1" applyProtection="1">
      <alignment horizontal="center" vertical="center"/>
    </xf>
    <xf numFmtId="49" fontId="20" fillId="7" borderId="9" xfId="0" applyNumberFormat="1" applyFont="1" applyFill="1" applyBorder="1" applyAlignment="1" applyProtection="1">
      <alignment horizontal="center" vertical="center" wrapText="1"/>
    </xf>
    <xf numFmtId="9" fontId="2" fillId="0" borderId="21" xfId="2" applyNumberFormat="1" applyFont="1" applyFill="1" applyBorder="1" applyAlignment="1" applyProtection="1">
      <alignment vertical="center"/>
    </xf>
    <xf numFmtId="49" fontId="1" fillId="0" borderId="23" xfId="0" applyNumberFormat="1" applyFont="1" applyFill="1" applyBorder="1" applyAlignment="1" applyProtection="1">
      <alignment horizontal="center" vertical="center"/>
    </xf>
    <xf numFmtId="176" fontId="2" fillId="0" borderId="18" xfId="0" applyNumberFormat="1" applyFont="1" applyFill="1" applyBorder="1" applyAlignment="1" applyProtection="1">
      <alignment horizontal="left" vertical="center"/>
    </xf>
    <xf numFmtId="176" fontId="2" fillId="0" borderId="17" xfId="0" applyNumberFormat="1" applyFont="1" applyFill="1" applyBorder="1" applyAlignment="1" applyProtection="1">
      <alignment horizontal="left" vertical="center"/>
    </xf>
    <xf numFmtId="49" fontId="2" fillId="0" borderId="18" xfId="0" applyNumberFormat="1" applyFont="1" applyFill="1" applyBorder="1" applyAlignment="1" applyProtection="1">
      <alignment horizontal="left" vertical="center"/>
    </xf>
    <xf numFmtId="49" fontId="2" fillId="0" borderId="23" xfId="0" applyNumberFormat="1" applyFont="1" applyFill="1" applyBorder="1" applyAlignment="1" applyProtection="1">
      <alignment horizontal="center" vertical="center"/>
    </xf>
    <xf numFmtId="182" fontId="1" fillId="0" borderId="0" xfId="0" applyNumberFormat="1" applyFont="1" applyFill="1" applyBorder="1" applyAlignment="1" applyProtection="1">
      <alignment vertical="center"/>
    </xf>
    <xf numFmtId="0" fontId="6" fillId="0" borderId="0" xfId="0" applyNumberFormat="1" applyFont="1" applyFill="1" applyBorder="1" applyAlignment="1" applyProtection="1">
      <alignment vertical="center"/>
    </xf>
    <xf numFmtId="10" fontId="6" fillId="6" borderId="7" xfId="2" applyNumberFormat="1" applyFont="1" applyFill="1" applyBorder="1" applyAlignment="1" applyProtection="1">
      <alignment horizontal="left" vertical="center"/>
    </xf>
    <xf numFmtId="0" fontId="1" fillId="0" borderId="50" xfId="0" applyNumberFormat="1" applyFont="1" applyFill="1" applyBorder="1" applyAlignment="1" applyProtection="1">
      <alignment vertical="center"/>
    </xf>
    <xf numFmtId="0" fontId="1" fillId="0" borderId="51" xfId="0" applyNumberFormat="1" applyFont="1" applyFill="1" applyBorder="1" applyAlignment="1" applyProtection="1">
      <alignment vertical="center"/>
    </xf>
    <xf numFmtId="0" fontId="1" fillId="0" borderId="7" xfId="0" applyFont="1" applyBorder="1" applyAlignment="1">
      <alignment horizontal="left" vertical="center"/>
    </xf>
    <xf numFmtId="0" fontId="1" fillId="0" borderId="7" xfId="0" applyFont="1" applyBorder="1">
      <alignment vertical="center"/>
    </xf>
    <xf numFmtId="0" fontId="1" fillId="0" borderId="23" xfId="0" applyFont="1" applyBorder="1">
      <alignment vertical="center"/>
    </xf>
    <xf numFmtId="0" fontId="0" fillId="0" borderId="52" xfId="0" applyBorder="1">
      <alignment vertical="center"/>
    </xf>
    <xf numFmtId="176" fontId="1" fillId="0" borderId="52" xfId="0" applyNumberFormat="1" applyFont="1" applyFill="1" applyBorder="1" applyAlignment="1" applyProtection="1">
      <alignment horizontal="right" vertical="center"/>
    </xf>
    <xf numFmtId="0" fontId="0" fillId="0" borderId="53" xfId="0" applyBorder="1">
      <alignment vertical="center"/>
    </xf>
    <xf numFmtId="41" fontId="11" fillId="0" borderId="23" xfId="1" applyNumberFormat="1" applyFont="1" applyFill="1" applyBorder="1" applyAlignment="1" applyProtection="1">
      <alignment horizontal="center" vertical="center"/>
    </xf>
    <xf numFmtId="41" fontId="1" fillId="0" borderId="5" xfId="1" applyNumberFormat="1" applyFont="1" applyFill="1" applyBorder="1" applyAlignment="1" applyProtection="1">
      <alignment horizontal="center" vertical="center"/>
    </xf>
    <xf numFmtId="49" fontId="29" fillId="10" borderId="9" xfId="0" applyNumberFormat="1" applyFont="1" applyFill="1" applyBorder="1" applyAlignment="1" applyProtection="1">
      <alignment horizontal="center" vertical="center"/>
    </xf>
    <xf numFmtId="49" fontId="29" fillId="10" borderId="10" xfId="0" applyNumberFormat="1" applyFont="1" applyFill="1" applyBorder="1" applyAlignment="1" applyProtection="1">
      <alignment horizontal="center" vertical="center"/>
    </xf>
    <xf numFmtId="49" fontId="29" fillId="10" borderId="9" xfId="0" applyNumberFormat="1" applyFont="1" applyFill="1" applyBorder="1" applyAlignment="1" applyProtection="1">
      <alignment horizontal="center" vertical="center" wrapText="1"/>
    </xf>
    <xf numFmtId="49" fontId="1" fillId="10" borderId="9" xfId="0" applyNumberFormat="1" applyFont="1" applyFill="1" applyBorder="1" applyAlignment="1" applyProtection="1">
      <alignment horizontal="center" vertical="center"/>
    </xf>
    <xf numFmtId="49" fontId="20" fillId="10" borderId="8" xfId="0" applyNumberFormat="1" applyFont="1" applyFill="1" applyBorder="1" applyAlignment="1" applyProtection="1">
      <alignment horizontal="center" vertical="center"/>
    </xf>
    <xf numFmtId="41" fontId="20" fillId="10" borderId="9" xfId="1" applyNumberFormat="1" applyFont="1" applyFill="1" applyBorder="1" applyAlignment="1" applyProtection="1">
      <alignment horizontal="center" vertical="center"/>
    </xf>
    <xf numFmtId="49" fontId="20" fillId="10" borderId="9" xfId="0" applyNumberFormat="1" applyFont="1" applyFill="1" applyBorder="1" applyAlignment="1" applyProtection="1">
      <alignment horizontal="center" vertical="center"/>
    </xf>
    <xf numFmtId="0" fontId="20" fillId="10" borderId="10" xfId="0" applyNumberFormat="1" applyFont="1" applyFill="1" applyBorder="1" applyAlignment="1" applyProtection="1">
      <alignment horizontal="center" vertical="center"/>
    </xf>
    <xf numFmtId="0" fontId="20" fillId="10" borderId="29" xfId="0" applyNumberFormat="1" applyFont="1" applyFill="1" applyBorder="1" applyAlignment="1" applyProtection="1">
      <alignment horizontal="center" vertical="center"/>
    </xf>
    <xf numFmtId="0" fontId="29" fillId="0" borderId="0" xfId="0" applyNumberFormat="1" applyFont="1" applyFill="1" applyBorder="1" applyAlignment="1" applyProtection="1">
      <alignment horizontal="center" vertical="center"/>
    </xf>
    <xf numFmtId="49" fontId="20" fillId="10" borderId="29" xfId="0" applyNumberFormat="1" applyFont="1" applyFill="1" applyBorder="1" applyAlignment="1" applyProtection="1">
      <alignment horizontal="center" vertical="center"/>
    </xf>
    <xf numFmtId="49" fontId="29" fillId="0" borderId="0" xfId="0" applyNumberFormat="1" applyFont="1" applyFill="1" applyBorder="1" applyAlignment="1" applyProtection="1">
      <alignment horizontal="center" vertical="center"/>
    </xf>
    <xf numFmtId="49" fontId="30" fillId="10" borderId="9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40" fillId="0" borderId="7" xfId="0" applyFont="1" applyBorder="1" applyAlignment="1">
      <alignment horizontal="center" vertical="center"/>
    </xf>
    <xf numFmtId="49" fontId="20" fillId="10" borderId="9" xfId="0" applyNumberFormat="1" applyFont="1" applyFill="1" applyBorder="1" applyAlignment="1" applyProtection="1">
      <alignment horizontal="center" vertical="center" wrapText="1"/>
    </xf>
    <xf numFmtId="49" fontId="2" fillId="0" borderId="7" xfId="0" applyNumberFormat="1" applyFont="1" applyFill="1" applyBorder="1" applyAlignment="1" applyProtection="1">
      <alignment horizontal="center" vertical="center" wrapText="1"/>
    </xf>
    <xf numFmtId="0" fontId="2" fillId="0" borderId="21" xfId="0" applyNumberFormat="1" applyFont="1" applyFill="1" applyBorder="1" applyAlignment="1" applyProtection="1">
      <alignment vertical="center" wrapText="1"/>
    </xf>
    <xf numFmtId="0" fontId="1" fillId="0" borderId="32" xfId="0" applyNumberFormat="1" applyFont="1" applyFill="1" applyBorder="1" applyAlignment="1" applyProtection="1">
      <alignment horizontal="center" vertical="center"/>
    </xf>
    <xf numFmtId="49" fontId="1" fillId="0" borderId="50" xfId="0" applyNumberFormat="1" applyFont="1" applyFill="1" applyBorder="1" applyAlignment="1" applyProtection="1">
      <alignment horizontal="center" vertical="center"/>
    </xf>
    <xf numFmtId="49" fontId="1" fillId="0" borderId="37" xfId="0" applyNumberFormat="1" applyFont="1" applyFill="1" applyBorder="1" applyAlignment="1" applyProtection="1">
      <alignment horizontal="center" vertical="center"/>
    </xf>
    <xf numFmtId="9" fontId="1" fillId="0" borderId="32" xfId="0" applyNumberFormat="1" applyFont="1" applyFill="1" applyBorder="1" applyAlignment="1" applyProtection="1">
      <alignment horizontal="center" vertical="center"/>
    </xf>
    <xf numFmtId="176" fontId="1" fillId="0" borderId="32" xfId="0" applyNumberFormat="1" applyFont="1" applyFill="1" applyBorder="1" applyAlignment="1" applyProtection="1">
      <alignment horizontal="center" vertical="center"/>
    </xf>
    <xf numFmtId="176" fontId="1" fillId="0" borderId="32" xfId="0" applyNumberFormat="1" applyFont="1" applyFill="1" applyBorder="1" applyAlignment="1" applyProtection="1">
      <alignment vertical="center"/>
    </xf>
    <xf numFmtId="49" fontId="42" fillId="0" borderId="55" xfId="0" applyNumberFormat="1" applyFont="1" applyFill="1" applyBorder="1" applyAlignment="1" applyProtection="1">
      <alignment horizontal="center" vertical="center"/>
    </xf>
    <xf numFmtId="182" fontId="42" fillId="7" borderId="56" xfId="0" applyNumberFormat="1" applyFont="1" applyFill="1" applyBorder="1" applyAlignment="1" applyProtection="1">
      <alignment horizontal="center" vertical="center"/>
    </xf>
    <xf numFmtId="176" fontId="42" fillId="0" borderId="57" xfId="0" applyNumberFormat="1" applyFont="1" applyFill="1" applyBorder="1" applyAlignment="1" applyProtection="1">
      <alignment horizontal="center" vertical="center"/>
    </xf>
    <xf numFmtId="182" fontId="42" fillId="7" borderId="58" xfId="0" applyNumberFormat="1" applyFont="1" applyFill="1" applyBorder="1" applyAlignment="1" applyProtection="1">
      <alignment vertical="center"/>
    </xf>
    <xf numFmtId="0" fontId="42" fillId="0" borderId="59" xfId="0" applyNumberFormat="1" applyFont="1" applyFill="1" applyBorder="1" applyAlignment="1" applyProtection="1">
      <alignment horizontal="center" vertical="center"/>
    </xf>
    <xf numFmtId="0" fontId="42" fillId="0" borderId="60" xfId="0" applyNumberFormat="1" applyFont="1" applyFill="1" applyBorder="1" applyAlignment="1" applyProtection="1">
      <alignment vertical="center"/>
    </xf>
    <xf numFmtId="49" fontId="42" fillId="0" borderId="61" xfId="0" applyNumberFormat="1" applyFont="1" applyFill="1" applyBorder="1" applyAlignment="1" applyProtection="1">
      <alignment horizontal="center" vertical="center"/>
    </xf>
    <xf numFmtId="182" fontId="42" fillId="7" borderId="7" xfId="0" applyNumberFormat="1" applyFont="1" applyFill="1" applyBorder="1" applyAlignment="1" applyProtection="1">
      <alignment horizontal="center" vertical="center"/>
    </xf>
    <xf numFmtId="176" fontId="42" fillId="0" borderId="7" xfId="0" applyNumberFormat="1" applyFont="1" applyFill="1" applyBorder="1" applyAlignment="1" applyProtection="1">
      <alignment horizontal="center" vertical="center"/>
    </xf>
    <xf numFmtId="182" fontId="42" fillId="0" borderId="7" xfId="0" applyNumberFormat="1" applyFont="1" applyFill="1" applyBorder="1" applyAlignment="1" applyProtection="1">
      <alignment vertical="center"/>
    </xf>
    <xf numFmtId="0" fontId="42" fillId="0" borderId="7" xfId="0" applyNumberFormat="1" applyFont="1" applyFill="1" applyBorder="1" applyAlignment="1" applyProtection="1">
      <alignment vertical="center"/>
    </xf>
    <xf numFmtId="0" fontId="42" fillId="0" borderId="62" xfId="0" applyNumberFormat="1" applyFont="1" applyFill="1" applyBorder="1" applyAlignment="1" applyProtection="1">
      <alignment vertical="center"/>
    </xf>
    <xf numFmtId="49" fontId="42" fillId="0" borderId="63" xfId="0" applyNumberFormat="1" applyFont="1" applyFill="1" applyBorder="1" applyAlignment="1" applyProtection="1">
      <alignment horizontal="center" vertical="center" wrapText="1"/>
    </xf>
    <xf numFmtId="9" fontId="43" fillId="7" borderId="64" xfId="2" applyNumberFormat="1" applyFont="1" applyFill="1" applyBorder="1">
      <alignment vertical="center"/>
    </xf>
    <xf numFmtId="176" fontId="42" fillId="0" borderId="64" xfId="0" applyNumberFormat="1" applyFont="1" applyFill="1" applyBorder="1" applyAlignment="1" applyProtection="1">
      <alignment horizontal="center" vertical="center"/>
    </xf>
    <xf numFmtId="182" fontId="42" fillId="7" borderId="64" xfId="0" applyNumberFormat="1" applyFont="1" applyFill="1" applyBorder="1" applyAlignment="1" applyProtection="1">
      <alignment vertical="center"/>
    </xf>
    <xf numFmtId="0" fontId="42" fillId="0" borderId="64" xfId="0" applyNumberFormat="1" applyFont="1" applyFill="1" applyBorder="1" applyAlignment="1" applyProtection="1">
      <alignment horizontal="center" vertical="center" wrapText="1"/>
    </xf>
    <xf numFmtId="0" fontId="42" fillId="0" borderId="65" xfId="0" applyNumberFormat="1" applyFont="1" applyFill="1" applyBorder="1" applyAlignment="1" applyProtection="1">
      <alignment vertical="center"/>
    </xf>
    <xf numFmtId="0" fontId="42" fillId="0" borderId="19" xfId="0" applyNumberFormat="1" applyFont="1" applyFill="1" applyBorder="1" applyAlignment="1" applyProtection="1">
      <alignment horizontal="center" vertical="center"/>
    </xf>
    <xf numFmtId="176" fontId="42" fillId="7" borderId="7" xfId="0" applyNumberFormat="1" applyFont="1" applyFill="1" applyBorder="1" applyAlignment="1" applyProtection="1">
      <alignment vertical="center"/>
    </xf>
    <xf numFmtId="0" fontId="42" fillId="0" borderId="18" xfId="0" applyNumberFormat="1" applyFont="1" applyFill="1" applyBorder="1" applyAlignment="1" applyProtection="1">
      <alignment horizontal="center" vertical="center"/>
    </xf>
    <xf numFmtId="180" fontId="42" fillId="7" borderId="7" xfId="0" applyNumberFormat="1" applyFont="1" applyFill="1" applyBorder="1" applyAlignment="1" applyProtection="1">
      <alignment vertical="center"/>
    </xf>
    <xf numFmtId="0" fontId="42" fillId="0" borderId="18" xfId="0" applyNumberFormat="1" applyFont="1" applyFill="1" applyBorder="1" applyAlignment="1" applyProtection="1">
      <alignment horizontal="left" vertical="center"/>
    </xf>
    <xf numFmtId="9" fontId="42" fillId="7" borderId="21" xfId="2" applyNumberFormat="1" applyFont="1" applyFill="1" applyBorder="1" applyAlignment="1" applyProtection="1">
      <alignment vertical="center"/>
    </xf>
    <xf numFmtId="0" fontId="42" fillId="0" borderId="7" xfId="0" applyNumberFormat="1" applyFont="1" applyFill="1" applyBorder="1" applyAlignment="1" applyProtection="1">
      <alignment horizontal="center" vertical="center"/>
    </xf>
    <xf numFmtId="176" fontId="42" fillId="7" borderId="7" xfId="1" applyNumberFormat="1" applyFont="1" applyFill="1" applyBorder="1" applyAlignment="1" applyProtection="1">
      <alignment vertical="center"/>
    </xf>
    <xf numFmtId="41" fontId="42" fillId="7" borderId="7" xfId="1" applyNumberFormat="1" applyFont="1" applyFill="1" applyBorder="1" applyAlignment="1" applyProtection="1">
      <alignment vertical="center"/>
    </xf>
    <xf numFmtId="182" fontId="42" fillId="7" borderId="7" xfId="0" applyNumberFormat="1" applyFont="1" applyFill="1" applyBorder="1" applyAlignment="1" applyProtection="1">
      <alignment vertical="center"/>
    </xf>
    <xf numFmtId="0" fontId="42" fillId="0" borderId="15" xfId="0" applyNumberFormat="1" applyFont="1" applyFill="1" applyBorder="1" applyAlignment="1" applyProtection="1">
      <alignment vertical="center"/>
    </xf>
    <xf numFmtId="176" fontId="42" fillId="0" borderId="18" xfId="0" applyNumberFormat="1" applyFont="1" applyFill="1" applyBorder="1" applyAlignment="1" applyProtection="1">
      <alignment horizontal="center" vertical="center"/>
    </xf>
    <xf numFmtId="0" fontId="42" fillId="0" borderId="7" xfId="0" applyNumberFormat="1" applyFont="1" applyFill="1" applyBorder="1" applyAlignment="1" applyProtection="1">
      <alignment horizontal="center" vertical="center" wrapText="1"/>
    </xf>
    <xf numFmtId="49" fontId="42" fillId="0" borderId="7" xfId="0" applyNumberFormat="1" applyFont="1" applyFill="1" applyBorder="1" applyAlignment="1" applyProtection="1">
      <alignment horizontal="center" vertical="center"/>
    </xf>
    <xf numFmtId="176" fontId="2" fillId="0" borderId="18" xfId="0" applyNumberFormat="1" applyFont="1" applyFill="1" applyBorder="1" applyAlignment="1" applyProtection="1">
      <alignment horizontal="left" vertical="center"/>
    </xf>
    <xf numFmtId="49" fontId="2" fillId="0" borderId="23" xfId="0" applyNumberFormat="1" applyFont="1" applyFill="1" applyBorder="1" applyAlignment="1" applyProtection="1">
      <alignment horizontal="center" vertical="center"/>
    </xf>
    <xf numFmtId="49" fontId="1" fillId="0" borderId="23" xfId="0" applyNumberFormat="1" applyFont="1" applyFill="1" applyBorder="1" applyAlignment="1" applyProtection="1">
      <alignment horizontal="center" vertical="center"/>
    </xf>
    <xf numFmtId="176" fontId="2" fillId="0" borderId="18" xfId="0" applyNumberFormat="1" applyFont="1" applyFill="1" applyBorder="1" applyAlignment="1" applyProtection="1">
      <alignment horizontal="left" vertical="center"/>
    </xf>
    <xf numFmtId="176" fontId="2" fillId="0" borderId="17" xfId="0" applyNumberFormat="1" applyFont="1" applyFill="1" applyBorder="1" applyAlignment="1" applyProtection="1">
      <alignment horizontal="left" vertical="center"/>
    </xf>
    <xf numFmtId="49" fontId="2" fillId="0" borderId="18" xfId="0" applyNumberFormat="1" applyFont="1" applyFill="1" applyBorder="1" applyAlignment="1" applyProtection="1">
      <alignment horizontal="left" vertical="center"/>
    </xf>
    <xf numFmtId="49" fontId="2" fillId="0" borderId="23" xfId="0" applyNumberFormat="1" applyFont="1" applyFill="1" applyBorder="1" applyAlignment="1" applyProtection="1">
      <alignment horizontal="center" vertical="center"/>
    </xf>
    <xf numFmtId="0" fontId="2" fillId="0" borderId="35" xfId="0" applyNumberFormat="1" applyFont="1" applyFill="1" applyBorder="1" applyAlignment="1" applyProtection="1">
      <alignment vertical="center"/>
    </xf>
    <xf numFmtId="49" fontId="8" fillId="0" borderId="0" xfId="0" applyNumberFormat="1" applyFont="1" applyFill="1" applyBorder="1" applyAlignment="1" applyProtection="1">
      <alignment horizontal="center" vertical="center"/>
    </xf>
    <xf numFmtId="182" fontId="2" fillId="0" borderId="0" xfId="1" applyNumberFormat="1" applyFont="1" applyFill="1" applyBorder="1" applyAlignment="1" applyProtection="1">
      <alignment horizontal="center" vertical="center"/>
    </xf>
    <xf numFmtId="177" fontId="29" fillId="0" borderId="0" xfId="0" applyNumberFormat="1" applyFont="1" applyFill="1" applyBorder="1" applyAlignment="1" applyProtection="1">
      <alignment vertical="center"/>
    </xf>
    <xf numFmtId="176" fontId="3" fillId="0" borderId="23" xfId="0" applyNumberFormat="1" applyFont="1" applyFill="1" applyBorder="1" applyAlignment="1" applyProtection="1">
      <alignment horizontal="center" vertical="center"/>
    </xf>
    <xf numFmtId="49" fontId="2" fillId="0" borderId="35" xfId="0" applyNumberFormat="1" applyFont="1" applyFill="1" applyBorder="1" applyAlignment="1" applyProtection="1">
      <alignment horizontal="left" vertical="center"/>
    </xf>
    <xf numFmtId="41" fontId="2" fillId="0" borderId="35" xfId="1" applyNumberFormat="1" applyFont="1" applyFill="1" applyBorder="1" applyAlignment="1" applyProtection="1">
      <alignment horizontal="center" vertical="center"/>
    </xf>
    <xf numFmtId="176" fontId="2" fillId="0" borderId="35" xfId="0" applyNumberFormat="1" applyFont="1" applyFill="1" applyBorder="1" applyAlignment="1" applyProtection="1">
      <alignment horizontal="right" vertical="center"/>
    </xf>
    <xf numFmtId="0" fontId="2" fillId="0" borderId="36" xfId="0" applyNumberFormat="1" applyFont="1" applyFill="1" applyBorder="1" applyAlignment="1" applyProtection="1">
      <alignment vertical="center"/>
    </xf>
    <xf numFmtId="49" fontId="2" fillId="0" borderId="50" xfId="0" applyNumberFormat="1" applyFont="1" applyFill="1" applyBorder="1" applyAlignment="1" applyProtection="1">
      <alignment horizontal="left" vertical="center"/>
    </xf>
    <xf numFmtId="41" fontId="2" fillId="0" borderId="50" xfId="1" applyNumberFormat="1" applyFont="1" applyFill="1" applyBorder="1" applyAlignment="1" applyProtection="1">
      <alignment horizontal="center" vertical="center"/>
    </xf>
    <xf numFmtId="176" fontId="2" fillId="0" borderId="50" xfId="0" applyNumberFormat="1" applyFont="1" applyFill="1" applyBorder="1" applyAlignment="1" applyProtection="1">
      <alignment horizontal="right" vertical="center"/>
    </xf>
    <xf numFmtId="0" fontId="2" fillId="0" borderId="50" xfId="0" applyNumberFormat="1" applyFont="1" applyFill="1" applyBorder="1" applyAlignment="1" applyProtection="1">
      <alignment vertical="center"/>
    </xf>
    <xf numFmtId="0" fontId="2" fillId="0" borderId="51" xfId="0" applyNumberFormat="1" applyFont="1" applyFill="1" applyBorder="1" applyAlignment="1" applyProtection="1">
      <alignment vertical="center"/>
    </xf>
    <xf numFmtId="49" fontId="20" fillId="0" borderId="2" xfId="0" applyNumberFormat="1" applyFont="1" applyFill="1" applyBorder="1" applyAlignment="1" applyProtection="1">
      <alignment horizontal="center" vertical="center" wrapText="1"/>
    </xf>
    <xf numFmtId="49" fontId="1" fillId="0" borderId="23" xfId="3" applyNumberFormat="1" applyFont="1" applyFill="1" applyBorder="1" applyAlignment="1" applyProtection="1">
      <alignment horizontal="center" vertical="center"/>
    </xf>
    <xf numFmtId="49" fontId="1" fillId="0" borderId="50" xfId="3" applyNumberFormat="1" applyFont="1" applyFill="1" applyBorder="1" applyAlignment="1" applyProtection="1">
      <alignment horizontal="center" vertical="center"/>
    </xf>
    <xf numFmtId="49" fontId="8" fillId="0" borderId="30" xfId="3" applyNumberFormat="1" applyFont="1" applyFill="1" applyBorder="1" applyAlignment="1" applyProtection="1">
      <alignment horizontal="center" vertical="center"/>
    </xf>
    <xf numFmtId="177" fontId="2" fillId="0" borderId="23" xfId="3" applyNumberFormat="1" applyFont="1" applyFill="1" applyBorder="1" applyAlignment="1" applyProtection="1">
      <alignment horizontal="center" vertical="center"/>
    </xf>
    <xf numFmtId="177" fontId="2" fillId="0" borderId="23" xfId="3" applyNumberFormat="1" applyFont="1" applyFill="1" applyBorder="1" applyAlignment="1" applyProtection="1">
      <alignment vertical="center"/>
    </xf>
    <xf numFmtId="177" fontId="29" fillId="7" borderId="23" xfId="3" applyNumberFormat="1" applyFont="1" applyFill="1" applyBorder="1" applyAlignment="1" applyProtection="1">
      <alignment vertical="center"/>
    </xf>
    <xf numFmtId="0" fontId="2" fillId="0" borderId="31" xfId="3" applyNumberFormat="1" applyFont="1" applyFill="1" applyBorder="1" applyAlignment="1" applyProtection="1">
      <alignment vertical="center"/>
    </xf>
    <xf numFmtId="177" fontId="2" fillId="0" borderId="23" xfId="3" applyNumberFormat="1" applyFont="1" applyFill="1" applyBorder="1" applyAlignment="1" applyProtection="1">
      <alignment horizontal="right" vertical="center"/>
    </xf>
    <xf numFmtId="49" fontId="45" fillId="0" borderId="35" xfId="0" applyNumberFormat="1" applyFont="1" applyFill="1" applyBorder="1" applyAlignment="1" applyProtection="1">
      <alignment horizontal="left" vertical="center"/>
    </xf>
    <xf numFmtId="49" fontId="1" fillId="0" borderId="18" xfId="0" applyNumberFormat="1" applyFont="1" applyFill="1" applyBorder="1" applyAlignment="1" applyProtection="1">
      <alignment horizontal="left" vertical="center"/>
    </xf>
    <xf numFmtId="49" fontId="1" fillId="0" borderId="23" xfId="0" applyNumberFormat="1" applyFont="1" applyFill="1" applyBorder="1" applyAlignment="1" applyProtection="1">
      <alignment horizontal="center" vertical="center"/>
    </xf>
    <xf numFmtId="0" fontId="1" fillId="8" borderId="2" xfId="0" applyNumberFormat="1" applyFont="1" applyFill="1" applyBorder="1" applyAlignment="1" applyProtection="1">
      <alignment horizontal="center" vertical="center"/>
    </xf>
    <xf numFmtId="49" fontId="1" fillId="0" borderId="18" xfId="0" applyNumberFormat="1" applyFont="1" applyFill="1" applyBorder="1" applyAlignment="1" applyProtection="1">
      <alignment horizontal="left" vertical="center"/>
    </xf>
    <xf numFmtId="49" fontId="1" fillId="0" borderId="23" xfId="0" applyNumberFormat="1" applyFont="1" applyFill="1" applyBorder="1" applyAlignment="1" applyProtection="1">
      <alignment horizontal="center" vertical="center"/>
    </xf>
    <xf numFmtId="10" fontId="1" fillId="0" borderId="7" xfId="2" applyNumberFormat="1" applyFont="1" applyFill="1" applyBorder="1" applyAlignment="1" applyProtection="1">
      <alignment horizontal="center" vertical="center"/>
    </xf>
    <xf numFmtId="0" fontId="1" fillId="0" borderId="0" xfId="0" applyFont="1" applyBorder="1">
      <alignment vertical="center"/>
    </xf>
    <xf numFmtId="41" fontId="11" fillId="0" borderId="0" xfId="1" applyNumberFormat="1" applyFont="1" applyFill="1" applyBorder="1" applyAlignment="1" applyProtection="1">
      <alignment horizontal="center" vertical="center"/>
    </xf>
    <xf numFmtId="0" fontId="0" fillId="0" borderId="0" xfId="0" applyBorder="1">
      <alignment vertical="center"/>
    </xf>
    <xf numFmtId="0" fontId="1" fillId="0" borderId="17" xfId="0" applyNumberFormat="1" applyFont="1" applyFill="1" applyBorder="1" applyAlignment="1" applyProtection="1">
      <alignment vertical="center"/>
    </xf>
    <xf numFmtId="0" fontId="42" fillId="0" borderId="66" xfId="0" applyNumberFormat="1" applyFont="1" applyFill="1" applyBorder="1" applyAlignment="1" applyProtection="1">
      <alignment vertical="center"/>
    </xf>
    <xf numFmtId="0" fontId="42" fillId="0" borderId="33" xfId="0" applyNumberFormat="1" applyFont="1" applyFill="1" applyBorder="1" applyAlignment="1" applyProtection="1">
      <alignment vertical="center"/>
    </xf>
    <xf numFmtId="0" fontId="42" fillId="0" borderId="67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49" fontId="1" fillId="7" borderId="7" xfId="0" applyNumberFormat="1" applyFont="1" applyFill="1" applyBorder="1" applyAlignment="1" applyProtection="1">
      <alignment horizontal="center" vertical="center"/>
    </xf>
    <xf numFmtId="178" fontId="1" fillId="7" borderId="7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176" fontId="1" fillId="0" borderId="2" xfId="0" applyNumberFormat="1" applyFont="1" applyFill="1" applyBorder="1" applyAlignment="1" applyProtection="1">
      <alignment vertical="center"/>
    </xf>
    <xf numFmtId="176" fontId="1" fillId="0" borderId="0" xfId="0" applyNumberFormat="1" applyFont="1" applyFill="1" applyBorder="1" applyAlignment="1" applyProtection="1">
      <alignment vertical="center"/>
    </xf>
    <xf numFmtId="0" fontId="1" fillId="8" borderId="8" xfId="0" applyNumberFormat="1" applyFont="1" applyFill="1" applyBorder="1" applyAlignment="1" applyProtection="1">
      <alignment horizontal="center" vertical="center"/>
    </xf>
    <xf numFmtId="0" fontId="1" fillId="8" borderId="9" xfId="0" applyNumberFormat="1" applyFont="1" applyFill="1" applyBorder="1" applyAlignment="1" applyProtection="1">
      <alignment horizontal="center" vertical="center"/>
    </xf>
    <xf numFmtId="176" fontId="1" fillId="0" borderId="30" xfId="0" applyNumberFormat="1" applyFont="1" applyFill="1" applyBorder="1" applyAlignment="1" applyProtection="1">
      <alignment vertical="center"/>
    </xf>
    <xf numFmtId="0" fontId="1" fillId="8" borderId="2" xfId="0" applyNumberFormat="1" applyFont="1" applyFill="1" applyBorder="1" applyAlignment="1" applyProtection="1">
      <alignment horizontal="center" vertical="center"/>
    </xf>
    <xf numFmtId="176" fontId="1" fillId="0" borderId="18" xfId="0" applyNumberFormat="1" applyFont="1" applyFill="1" applyBorder="1" applyAlignment="1" applyProtection="1">
      <alignment horizontal="left" vertical="center"/>
    </xf>
    <xf numFmtId="49" fontId="1" fillId="0" borderId="23" xfId="0" applyNumberFormat="1" applyFont="1" applyFill="1" applyBorder="1" applyAlignment="1" applyProtection="1">
      <alignment horizontal="center" vertical="center"/>
    </xf>
    <xf numFmtId="49" fontId="2" fillId="0" borderId="52" xfId="0" applyNumberFormat="1" applyFont="1" applyFill="1" applyBorder="1" applyAlignment="1" applyProtection="1">
      <alignment horizontal="left" vertical="center"/>
    </xf>
    <xf numFmtId="49" fontId="1" fillId="0" borderId="18" xfId="0" applyNumberFormat="1" applyFont="1" applyFill="1" applyBorder="1" applyAlignment="1" applyProtection="1">
      <alignment horizontal="left" vertical="center"/>
    </xf>
    <xf numFmtId="49" fontId="1" fillId="0" borderId="23" xfId="0" applyNumberFormat="1" applyFont="1" applyFill="1" applyBorder="1" applyAlignment="1" applyProtection="1">
      <alignment horizontal="center" vertical="center"/>
    </xf>
    <xf numFmtId="49" fontId="47" fillId="0" borderId="7" xfId="0" applyNumberFormat="1" applyFont="1" applyFill="1" applyBorder="1" applyAlignment="1" applyProtection="1">
      <alignment horizontal="center" vertical="center" wrapText="1"/>
    </xf>
    <xf numFmtId="178" fontId="1" fillId="0" borderId="9" xfId="0" applyNumberFormat="1" applyFont="1" applyFill="1" applyBorder="1" applyAlignment="1" applyProtection="1">
      <alignment horizontal="center" vertical="center" wrapText="1"/>
    </xf>
    <xf numFmtId="49" fontId="1" fillId="0" borderId="23" xfId="0" applyNumberFormat="1" applyFont="1" applyFill="1" applyBorder="1" applyAlignment="1" applyProtection="1">
      <alignment horizontal="center" vertical="center"/>
    </xf>
    <xf numFmtId="49" fontId="1" fillId="0" borderId="18" xfId="0" applyNumberFormat="1" applyFont="1" applyFill="1" applyBorder="1" applyAlignment="1" applyProtection="1">
      <alignment horizontal="left" vertical="center"/>
    </xf>
    <xf numFmtId="49" fontId="1" fillId="0" borderId="23" xfId="0" applyNumberFormat="1" applyFont="1" applyFill="1" applyBorder="1" applyAlignment="1" applyProtection="1">
      <alignment horizontal="center" vertical="center"/>
    </xf>
    <xf numFmtId="49" fontId="1" fillId="0" borderId="18" xfId="0" applyNumberFormat="1" applyFont="1" applyFill="1" applyBorder="1" applyAlignment="1" applyProtection="1">
      <alignment horizontal="left" vertical="center"/>
    </xf>
    <xf numFmtId="0" fontId="0" fillId="0" borderId="7" xfId="0" applyBorder="1">
      <alignment vertical="center"/>
    </xf>
    <xf numFmtId="0" fontId="0" fillId="0" borderId="23" xfId="0" applyBorder="1">
      <alignment vertical="center"/>
    </xf>
    <xf numFmtId="0" fontId="1" fillId="0" borderId="23" xfId="0" applyNumberFormat="1" applyFont="1" applyFill="1" applyBorder="1" applyAlignment="1" applyProtection="1">
      <alignment vertical="center"/>
    </xf>
    <xf numFmtId="9" fontId="11" fillId="7" borderId="7" xfId="2" applyNumberFormat="1" applyFont="1" applyFill="1" applyBorder="1" applyAlignment="1" applyProtection="1">
      <alignment vertical="center"/>
    </xf>
    <xf numFmtId="179" fontId="11" fillId="7" borderId="7" xfId="0" applyNumberFormat="1" applyFont="1" applyFill="1" applyBorder="1" applyAlignment="1" applyProtection="1">
      <alignment vertical="center"/>
    </xf>
    <xf numFmtId="178" fontId="1" fillId="6" borderId="7" xfId="0" applyNumberFormat="1" applyFont="1" applyFill="1" applyBorder="1" applyAlignment="1" applyProtection="1">
      <alignment horizontal="center" vertical="center"/>
    </xf>
    <xf numFmtId="177" fontId="1" fillId="0" borderId="49" xfId="0" applyNumberFormat="1" applyFont="1" applyFill="1" applyBorder="1" applyAlignment="1" applyProtection="1">
      <alignment horizontal="right" vertical="center"/>
    </xf>
    <xf numFmtId="177" fontId="1" fillId="7" borderId="49" xfId="0" applyNumberFormat="1" applyFont="1" applyFill="1" applyBorder="1" applyAlignment="1" applyProtection="1">
      <alignment horizontal="right" vertical="center"/>
    </xf>
    <xf numFmtId="184" fontId="40" fillId="0" borderId="7" xfId="0" applyNumberFormat="1" applyFont="1" applyBorder="1" applyAlignment="1">
      <alignment horizontal="center" vertical="center"/>
    </xf>
    <xf numFmtId="184" fontId="1" fillId="0" borderId="7" xfId="1" applyNumberFormat="1" applyFont="1" applyFill="1" applyBorder="1" applyAlignment="1" applyProtection="1">
      <alignment horizontal="center" vertical="center"/>
    </xf>
    <xf numFmtId="184" fontId="1" fillId="0" borderId="5" xfId="1" applyNumberFormat="1" applyFont="1" applyFill="1" applyBorder="1" applyAlignment="1" applyProtection="1">
      <alignment horizontal="center" vertical="center"/>
    </xf>
    <xf numFmtId="184" fontId="11" fillId="0" borderId="23" xfId="1" applyNumberFormat="1" applyFont="1" applyFill="1" applyBorder="1" applyAlignment="1" applyProtection="1">
      <alignment horizontal="center" vertical="center"/>
    </xf>
    <xf numFmtId="177" fontId="29" fillId="9" borderId="0" xfId="0" applyNumberFormat="1" applyFont="1" applyFill="1" applyBorder="1" applyAlignment="1" applyProtection="1">
      <alignment vertical="center"/>
    </xf>
    <xf numFmtId="49" fontId="20" fillId="8" borderId="0" xfId="0" applyNumberFormat="1" applyFont="1" applyFill="1" applyBorder="1" applyAlignment="1" applyProtection="1">
      <alignment horizontal="center" vertical="center" wrapText="1"/>
    </xf>
    <xf numFmtId="176" fontId="1" fillId="0" borderId="53" xfId="0" applyNumberFormat="1" applyFont="1" applyFill="1" applyBorder="1" applyAlignment="1" applyProtection="1">
      <alignment horizontal="right" vertical="center"/>
    </xf>
    <xf numFmtId="0" fontId="1" fillId="8" borderId="0" xfId="0" applyNumberFormat="1" applyFont="1" applyFill="1" applyBorder="1" applyAlignment="1" applyProtection="1">
      <alignment horizontal="center" vertical="center"/>
    </xf>
    <xf numFmtId="177" fontId="1" fillId="0" borderId="0" xfId="1" applyNumberFormat="1" applyFont="1" applyFill="1" applyBorder="1" applyAlignment="1" applyProtection="1">
      <alignment horizontal="right" vertical="center"/>
    </xf>
    <xf numFmtId="177" fontId="1" fillId="7" borderId="0" xfId="0" applyNumberFormat="1" applyFont="1" applyFill="1" applyBorder="1" applyAlignment="1" applyProtection="1">
      <alignment horizontal="right" vertical="center"/>
    </xf>
    <xf numFmtId="0" fontId="1" fillId="0" borderId="0" xfId="0" applyFont="1" applyBorder="1" applyAlignment="1">
      <alignment horizontal="left" vertical="center"/>
    </xf>
    <xf numFmtId="184" fontId="40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Fill="1" applyBorder="1" applyAlignment="1" applyProtection="1">
      <alignment horizontal="left" vertical="center"/>
    </xf>
    <xf numFmtId="184" fontId="1" fillId="0" borderId="0" xfId="1" applyNumberFormat="1" applyFont="1" applyFill="1" applyBorder="1" applyAlignment="1" applyProtection="1">
      <alignment horizontal="center" vertical="center"/>
    </xf>
    <xf numFmtId="184" fontId="11" fillId="0" borderId="0" xfId="1" applyNumberFormat="1" applyFont="1" applyFill="1" applyBorder="1" applyAlignment="1" applyProtection="1">
      <alignment horizontal="center" vertical="center"/>
    </xf>
    <xf numFmtId="49" fontId="1" fillId="0" borderId="23" xfId="0" applyNumberFormat="1" applyFont="1" applyFill="1" applyBorder="1" applyAlignment="1" applyProtection="1">
      <alignment horizontal="center" vertical="center"/>
    </xf>
    <xf numFmtId="177" fontId="20" fillId="7" borderId="7" xfId="0" applyNumberFormat="1" applyFont="1" applyFill="1" applyBorder="1" applyAlignment="1" applyProtection="1">
      <alignment vertical="center"/>
    </xf>
    <xf numFmtId="176" fontId="1" fillId="0" borderId="18" xfId="0" applyNumberFormat="1" applyFont="1" applyFill="1" applyBorder="1" applyAlignment="1" applyProtection="1">
      <alignment horizontal="left" vertical="center"/>
    </xf>
    <xf numFmtId="49" fontId="1" fillId="0" borderId="23" xfId="0" applyNumberFormat="1" applyFont="1" applyFill="1" applyBorder="1" applyAlignment="1" applyProtection="1">
      <alignment horizontal="center" vertical="center"/>
    </xf>
    <xf numFmtId="177" fontId="20" fillId="7" borderId="23" xfId="0" applyNumberFormat="1" applyFont="1" applyFill="1" applyBorder="1" applyAlignment="1" applyProtection="1">
      <alignment vertical="center"/>
    </xf>
    <xf numFmtId="41" fontId="1" fillId="8" borderId="9" xfId="1" applyNumberFormat="1" applyFont="1" applyFill="1" applyBorder="1" applyAlignment="1" applyProtection="1">
      <alignment vertical="center"/>
    </xf>
    <xf numFmtId="0" fontId="1" fillId="8" borderId="1" xfId="0" applyNumberFormat="1" applyFont="1" applyFill="1" applyBorder="1" applyAlignment="1" applyProtection="1">
      <alignment horizontal="center" vertical="center"/>
    </xf>
    <xf numFmtId="49" fontId="1" fillId="0" borderId="23" xfId="0" applyNumberFormat="1" applyFont="1" applyFill="1" applyBorder="1" applyAlignment="1" applyProtection="1">
      <alignment horizontal="center" vertical="center"/>
    </xf>
    <xf numFmtId="49" fontId="1" fillId="0" borderId="18" xfId="0" applyNumberFormat="1" applyFont="1" applyFill="1" applyBorder="1" applyAlignment="1" applyProtection="1">
      <alignment horizontal="left" vertical="center"/>
    </xf>
    <xf numFmtId="176" fontId="42" fillId="0" borderId="50" xfId="0" applyNumberFormat="1" applyFont="1" applyFill="1" applyBorder="1" applyAlignment="1" applyProtection="1">
      <alignment horizontal="center" vertical="center"/>
    </xf>
    <xf numFmtId="0" fontId="42" fillId="0" borderId="50" xfId="0" applyNumberFormat="1" applyFont="1" applyFill="1" applyBorder="1" applyAlignment="1" applyProtection="1">
      <alignment horizontal="center" vertical="center" wrapText="1"/>
    </xf>
    <xf numFmtId="0" fontId="42" fillId="0" borderId="51" xfId="0" applyNumberFormat="1" applyFont="1" applyFill="1" applyBorder="1" applyAlignment="1" applyProtection="1">
      <alignment vertical="center"/>
    </xf>
    <xf numFmtId="182" fontId="42" fillId="0" borderId="50" xfId="0" applyNumberFormat="1" applyFont="1" applyFill="1" applyBorder="1" applyAlignment="1" applyProtection="1">
      <alignment vertical="center"/>
    </xf>
    <xf numFmtId="9" fontId="48" fillId="0" borderId="50" xfId="2" applyNumberFormat="1" applyFont="1" applyFill="1" applyBorder="1">
      <alignment vertical="center"/>
    </xf>
    <xf numFmtId="0" fontId="1" fillId="0" borderId="68" xfId="0" applyNumberFormat="1" applyFont="1" applyFill="1" applyBorder="1" applyAlignment="1" applyProtection="1">
      <alignment vertical="center"/>
    </xf>
    <xf numFmtId="49" fontId="20" fillId="0" borderId="49" xfId="0" applyNumberFormat="1" applyFont="1" applyFill="1" applyBorder="1" applyAlignment="1" applyProtection="1">
      <alignment horizontal="center" vertical="center" wrapText="1"/>
    </xf>
    <xf numFmtId="182" fontId="42" fillId="0" borderId="56" xfId="0" applyNumberFormat="1" applyFont="1" applyFill="1" applyBorder="1" applyAlignment="1" applyProtection="1">
      <alignment horizontal="center" vertical="center"/>
    </xf>
    <xf numFmtId="182" fontId="42" fillId="0" borderId="58" xfId="0" applyNumberFormat="1" applyFont="1" applyFill="1" applyBorder="1" applyAlignment="1" applyProtection="1">
      <alignment vertical="center"/>
    </xf>
    <xf numFmtId="182" fontId="42" fillId="0" borderId="7" xfId="0" applyNumberFormat="1" applyFont="1" applyFill="1" applyBorder="1" applyAlignment="1" applyProtection="1">
      <alignment horizontal="center" vertical="center"/>
    </xf>
    <xf numFmtId="9" fontId="43" fillId="0" borderId="64" xfId="2" applyNumberFormat="1" applyFont="1" applyFill="1" applyBorder="1">
      <alignment vertical="center"/>
    </xf>
    <xf numFmtId="182" fontId="42" fillId="0" borderId="64" xfId="0" applyNumberFormat="1" applyFont="1" applyFill="1" applyBorder="1" applyAlignment="1" applyProtection="1">
      <alignment vertical="center"/>
    </xf>
    <xf numFmtId="177" fontId="1" fillId="7" borderId="18" xfId="0" applyNumberFormat="1" applyFont="1" applyFill="1" applyBorder="1" applyAlignment="1" applyProtection="1">
      <alignment vertical="center"/>
    </xf>
    <xf numFmtId="177" fontId="1" fillId="7" borderId="24" xfId="0" applyNumberFormat="1" applyFont="1" applyFill="1" applyBorder="1" applyAlignment="1" applyProtection="1">
      <alignment vertical="center"/>
    </xf>
    <xf numFmtId="49" fontId="1" fillId="0" borderId="23" xfId="0" applyNumberFormat="1" applyFont="1" applyFill="1" applyBorder="1" applyAlignment="1" applyProtection="1">
      <alignment horizontal="center" vertical="center"/>
    </xf>
    <xf numFmtId="49" fontId="1" fillId="0" borderId="18" xfId="0" applyNumberFormat="1" applyFont="1" applyFill="1" applyBorder="1" applyAlignment="1" applyProtection="1">
      <alignment horizontal="left" vertical="center"/>
    </xf>
    <xf numFmtId="49" fontId="1" fillId="8" borderId="10" xfId="0" applyNumberFormat="1" applyFont="1" applyFill="1" applyBorder="1" applyAlignment="1" applyProtection="1">
      <alignment horizontal="center" vertical="center"/>
    </xf>
    <xf numFmtId="0" fontId="1" fillId="8" borderId="1" xfId="0" applyNumberFormat="1" applyFont="1" applyFill="1" applyBorder="1" applyAlignment="1" applyProtection="1">
      <alignment horizontal="center" vertical="center"/>
    </xf>
    <xf numFmtId="49" fontId="1" fillId="0" borderId="23" xfId="0" applyNumberFormat="1" applyFont="1" applyFill="1" applyBorder="1" applyAlignment="1" applyProtection="1">
      <alignment horizontal="center" vertical="center"/>
    </xf>
    <xf numFmtId="49" fontId="1" fillId="0" borderId="18" xfId="0" applyNumberFormat="1" applyFont="1" applyFill="1" applyBorder="1" applyAlignment="1" applyProtection="1">
      <alignment horizontal="left" vertical="center"/>
    </xf>
    <xf numFmtId="49" fontId="1" fillId="8" borderId="10" xfId="0" applyNumberFormat="1" applyFont="1" applyFill="1" applyBorder="1" applyAlignment="1" applyProtection="1">
      <alignment horizontal="center" vertical="center"/>
    </xf>
    <xf numFmtId="49" fontId="1" fillId="0" borderId="6" xfId="0" applyNumberFormat="1" applyFont="1" applyFill="1" applyBorder="1" applyAlignment="1" applyProtection="1">
      <alignment horizontal="center" vertical="center"/>
    </xf>
    <xf numFmtId="178" fontId="1" fillId="0" borderId="6" xfId="0" applyNumberFormat="1" applyFont="1" applyFill="1" applyBorder="1" applyAlignment="1" applyProtection="1">
      <alignment horizontal="center" vertical="center"/>
    </xf>
    <xf numFmtId="178" fontId="1" fillId="0" borderId="14" xfId="0" applyNumberFormat="1" applyFont="1" applyFill="1" applyBorder="1" applyAlignment="1" applyProtection="1">
      <alignment horizontal="center" vertical="center"/>
    </xf>
    <xf numFmtId="0" fontId="1" fillId="8" borderId="1" xfId="0" applyNumberFormat="1" applyFont="1" applyFill="1" applyBorder="1" applyAlignment="1" applyProtection="1">
      <alignment horizontal="center" vertical="center"/>
    </xf>
    <xf numFmtId="49" fontId="1" fillId="0" borderId="23" xfId="0" applyNumberFormat="1" applyFont="1" applyFill="1" applyBorder="1" applyAlignment="1" applyProtection="1">
      <alignment horizontal="center" vertical="center"/>
    </xf>
    <xf numFmtId="49" fontId="1" fillId="0" borderId="18" xfId="0" applyNumberFormat="1" applyFont="1" applyFill="1" applyBorder="1" applyAlignment="1" applyProtection="1">
      <alignment horizontal="left" vertical="center"/>
    </xf>
    <xf numFmtId="49" fontId="1" fillId="8" borderId="10" xfId="0" applyNumberFormat="1" applyFont="1" applyFill="1" applyBorder="1" applyAlignment="1" applyProtection="1">
      <alignment horizontal="center" vertical="center"/>
    </xf>
    <xf numFmtId="49" fontId="1" fillId="0" borderId="7" xfId="0" applyNumberFormat="1" applyFont="1" applyFill="1" applyBorder="1" applyAlignment="1" applyProtection="1">
      <alignment horizontal="center" vertical="center" wrapText="1"/>
    </xf>
    <xf numFmtId="0" fontId="1" fillId="8" borderId="1" xfId="0" applyNumberFormat="1" applyFont="1" applyFill="1" applyBorder="1" applyAlignment="1" applyProtection="1">
      <alignment horizontal="center" vertical="center"/>
    </xf>
    <xf numFmtId="49" fontId="1" fillId="0" borderId="23" xfId="0" applyNumberFormat="1" applyFont="1" applyFill="1" applyBorder="1" applyAlignment="1" applyProtection="1">
      <alignment horizontal="center" vertical="center"/>
    </xf>
    <xf numFmtId="49" fontId="1" fillId="0" borderId="18" xfId="0" applyNumberFormat="1" applyFont="1" applyFill="1" applyBorder="1" applyAlignment="1" applyProtection="1">
      <alignment horizontal="left" vertical="center"/>
    </xf>
    <xf numFmtId="49" fontId="1" fillId="8" borderId="10" xfId="0" applyNumberFormat="1" applyFont="1" applyFill="1" applyBorder="1" applyAlignment="1" applyProtection="1">
      <alignment horizontal="center" vertical="center"/>
    </xf>
    <xf numFmtId="49" fontId="1" fillId="0" borderId="23" xfId="0" applyNumberFormat="1" applyFont="1" applyFill="1" applyBorder="1" applyAlignment="1" applyProtection="1">
      <alignment horizontal="center" vertical="center"/>
    </xf>
    <xf numFmtId="49" fontId="1" fillId="0" borderId="18" xfId="0" applyNumberFormat="1" applyFont="1" applyFill="1" applyBorder="1" applyAlignment="1" applyProtection="1">
      <alignment horizontal="left" vertical="center"/>
    </xf>
    <xf numFmtId="49" fontId="1" fillId="8" borderId="10" xfId="0" applyNumberFormat="1" applyFont="1" applyFill="1" applyBorder="1" applyAlignment="1" applyProtection="1">
      <alignment horizontal="center" vertical="center"/>
    </xf>
    <xf numFmtId="49" fontId="42" fillId="0" borderId="72" xfId="0" applyNumberFormat="1" applyFont="1" applyFill="1" applyBorder="1" applyAlignment="1" applyProtection="1">
      <alignment horizontal="center" vertical="center" wrapText="1"/>
    </xf>
    <xf numFmtId="9" fontId="43" fillId="7" borderId="23" xfId="2" applyNumberFormat="1" applyFont="1" applyFill="1" applyBorder="1">
      <alignment vertical="center"/>
    </xf>
    <xf numFmtId="176" fontId="42" fillId="0" borderId="23" xfId="0" applyNumberFormat="1" applyFont="1" applyFill="1" applyBorder="1" applyAlignment="1" applyProtection="1">
      <alignment horizontal="center" vertical="center"/>
    </xf>
    <xf numFmtId="182" fontId="42" fillId="7" borderId="23" xfId="0" applyNumberFormat="1" applyFont="1" applyFill="1" applyBorder="1" applyAlignment="1" applyProtection="1">
      <alignment vertical="center"/>
    </xf>
    <xf numFmtId="0" fontId="42" fillId="0" borderId="23" xfId="0" applyNumberFormat="1" applyFont="1" applyFill="1" applyBorder="1" applyAlignment="1" applyProtection="1">
      <alignment horizontal="center" vertical="center" wrapText="1"/>
    </xf>
    <xf numFmtId="0" fontId="42" fillId="0" borderId="31" xfId="0" applyNumberFormat="1" applyFont="1" applyFill="1" applyBorder="1" applyAlignment="1" applyProtection="1">
      <alignment vertical="center"/>
    </xf>
    <xf numFmtId="0" fontId="1" fillId="0" borderId="47" xfId="0" applyNumberFormat="1" applyFont="1" applyFill="1" applyBorder="1" applyAlignment="1" applyProtection="1">
      <alignment vertical="center"/>
    </xf>
    <xf numFmtId="176" fontId="1" fillId="0" borderId="5" xfId="0" applyNumberFormat="1" applyFont="1" applyFill="1" applyBorder="1" applyAlignment="1" applyProtection="1">
      <alignment horizontal="right" vertical="center"/>
    </xf>
    <xf numFmtId="0" fontId="1" fillId="0" borderId="5" xfId="0" applyNumberFormat="1" applyFont="1" applyFill="1" applyBorder="1" applyAlignment="1" applyProtection="1">
      <alignment vertical="center"/>
    </xf>
    <xf numFmtId="176" fontId="1" fillId="0" borderId="5" xfId="0" applyNumberFormat="1" applyFont="1" applyFill="1" applyBorder="1" applyAlignment="1" applyProtection="1">
      <alignment vertical="center"/>
    </xf>
    <xf numFmtId="41" fontId="1" fillId="0" borderId="24" xfId="1" applyNumberFormat="1" applyFont="1" applyFill="1" applyBorder="1" applyAlignment="1" applyProtection="1">
      <alignment horizontal="center" vertical="center"/>
    </xf>
    <xf numFmtId="9" fontId="15" fillId="0" borderId="31" xfId="2" applyBorder="1">
      <alignment vertical="center"/>
    </xf>
    <xf numFmtId="49" fontId="1" fillId="0" borderId="23" xfId="0" applyNumberFormat="1" applyFont="1" applyFill="1" applyBorder="1" applyAlignment="1" applyProtection="1">
      <alignment horizontal="center" vertical="center"/>
    </xf>
    <xf numFmtId="49" fontId="1" fillId="0" borderId="18" xfId="0" applyNumberFormat="1" applyFont="1" applyFill="1" applyBorder="1" applyAlignment="1" applyProtection="1">
      <alignment horizontal="left" vertical="center"/>
    </xf>
    <xf numFmtId="49" fontId="45" fillId="0" borderId="35" xfId="0" applyNumberFormat="1" applyFont="1" applyFill="1" applyBorder="1" applyAlignment="1" applyProtection="1">
      <alignment horizontal="left" vertical="center"/>
    </xf>
    <xf numFmtId="49" fontId="1" fillId="8" borderId="10" xfId="0" applyNumberFormat="1" applyFont="1" applyFill="1" applyBorder="1" applyAlignment="1" applyProtection="1">
      <alignment horizontal="center" vertical="center"/>
    </xf>
    <xf numFmtId="49" fontId="42" fillId="0" borderId="5" xfId="0" applyNumberFormat="1" applyFont="1" applyFill="1" applyBorder="1" applyAlignment="1" applyProtection="1">
      <alignment horizontal="center" vertical="center"/>
    </xf>
    <xf numFmtId="182" fontId="42" fillId="7" borderId="5" xfId="0" applyNumberFormat="1" applyFont="1" applyFill="1" applyBorder="1" applyAlignment="1" applyProtection="1">
      <alignment horizontal="center" vertical="center"/>
    </xf>
    <xf numFmtId="176" fontId="42" fillId="0" borderId="37" xfId="0" applyNumberFormat="1" applyFont="1" applyFill="1" applyBorder="1" applyAlignment="1" applyProtection="1">
      <alignment horizontal="center" vertical="center"/>
    </xf>
    <xf numFmtId="0" fontId="42" fillId="0" borderId="32" xfId="0" applyNumberFormat="1" applyFont="1" applyFill="1" applyBorder="1" applyAlignment="1" applyProtection="1">
      <alignment horizontal="center" vertical="center"/>
    </xf>
    <xf numFmtId="49" fontId="42" fillId="0" borderId="23" xfId="0" applyNumberFormat="1" applyFont="1" applyFill="1" applyBorder="1" applyAlignment="1" applyProtection="1">
      <alignment horizontal="center" vertical="center" wrapText="1"/>
    </xf>
    <xf numFmtId="10" fontId="1" fillId="0" borderId="7" xfId="2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left" vertical="center"/>
    </xf>
    <xf numFmtId="184" fontId="1" fillId="0" borderId="7" xfId="0" applyNumberFormat="1" applyFont="1" applyBorder="1" applyAlignment="1">
      <alignment horizontal="center" vertical="center"/>
    </xf>
    <xf numFmtId="176" fontId="1" fillId="0" borderId="7" xfId="1" applyNumberFormat="1" applyFont="1" applyFill="1" applyBorder="1" applyAlignment="1" applyProtection="1">
      <alignment horizontal="center" vertical="center"/>
    </xf>
    <xf numFmtId="176" fontId="1" fillId="0" borderId="5" xfId="1" applyNumberFormat="1" applyFont="1" applyFill="1" applyBorder="1" applyAlignment="1" applyProtection="1">
      <alignment horizontal="center" vertical="center"/>
    </xf>
    <xf numFmtId="176" fontId="11" fillId="0" borderId="23" xfId="1" applyNumberFormat="1" applyFont="1" applyFill="1" applyBorder="1" applyAlignment="1" applyProtection="1">
      <alignment horizontal="center" vertical="center"/>
    </xf>
    <xf numFmtId="49" fontId="51" fillId="0" borderId="0" xfId="4" applyNumberFormat="1" applyFill="1" applyBorder="1" applyAlignment="1" applyProtection="1">
      <alignment horizontal="left" vertical="center"/>
    </xf>
    <xf numFmtId="1" fontId="1" fillId="0" borderId="0" xfId="0" applyNumberFormat="1" applyFont="1" applyFill="1" applyBorder="1" applyAlignment="1" applyProtection="1">
      <alignment vertical="center"/>
    </xf>
    <xf numFmtId="0" fontId="1" fillId="8" borderId="2" xfId="0" applyNumberFormat="1" applyFont="1" applyFill="1" applyBorder="1" applyAlignment="1" applyProtection="1">
      <alignment horizontal="center" vertical="center"/>
    </xf>
    <xf numFmtId="176" fontId="1" fillId="0" borderId="18" xfId="0" applyNumberFormat="1" applyFont="1" applyFill="1" applyBorder="1" applyAlignment="1" applyProtection="1">
      <alignment horizontal="left" vertical="center"/>
    </xf>
    <xf numFmtId="49" fontId="1" fillId="0" borderId="23" xfId="0" applyNumberFormat="1" applyFont="1" applyFill="1" applyBorder="1" applyAlignment="1" applyProtection="1">
      <alignment horizontal="center" vertical="center"/>
    </xf>
    <xf numFmtId="176" fontId="2" fillId="0" borderId="18" xfId="0" applyNumberFormat="1" applyFont="1" applyFill="1" applyBorder="1" applyAlignment="1" applyProtection="1">
      <alignment horizontal="left" vertical="center"/>
    </xf>
    <xf numFmtId="176" fontId="2" fillId="0" borderId="17" xfId="0" applyNumberFormat="1" applyFont="1" applyFill="1" applyBorder="1" applyAlignment="1" applyProtection="1">
      <alignment horizontal="left" vertical="center"/>
    </xf>
    <xf numFmtId="49" fontId="2" fillId="0" borderId="18" xfId="0" applyNumberFormat="1" applyFont="1" applyFill="1" applyBorder="1" applyAlignment="1" applyProtection="1">
      <alignment horizontal="left" vertical="center"/>
    </xf>
    <xf numFmtId="49" fontId="2" fillId="0" borderId="23" xfId="0" applyNumberFormat="1" applyFont="1" applyFill="1" applyBorder="1" applyAlignment="1" applyProtection="1">
      <alignment horizontal="center" vertical="center"/>
    </xf>
    <xf numFmtId="49" fontId="45" fillId="0" borderId="35" xfId="0" applyNumberFormat="1" applyFont="1" applyFill="1" applyBorder="1" applyAlignment="1" applyProtection="1">
      <alignment horizontal="left" vertical="center"/>
    </xf>
    <xf numFmtId="49" fontId="1" fillId="8" borderId="10" xfId="0" applyNumberFormat="1" applyFont="1" applyFill="1" applyBorder="1" applyAlignment="1" applyProtection="1">
      <alignment horizontal="center" vertical="center"/>
    </xf>
    <xf numFmtId="177" fontId="11" fillId="0" borderId="7" xfId="0" applyNumberFormat="1" applyFont="1" applyFill="1" applyBorder="1" applyAlignment="1" applyProtection="1">
      <alignment vertical="center"/>
    </xf>
    <xf numFmtId="177" fontId="11" fillId="0" borderId="7" xfId="0" applyNumberFormat="1" applyFont="1" applyFill="1" applyBorder="1" applyAlignment="1" applyProtection="1">
      <alignment horizontal="right" vertical="center"/>
    </xf>
    <xf numFmtId="177" fontId="11" fillId="0" borderId="5" xfId="0" applyNumberFormat="1" applyFont="1" applyFill="1" applyBorder="1" applyAlignment="1" applyProtection="1">
      <alignment horizontal="right" vertical="center"/>
    </xf>
    <xf numFmtId="177" fontId="6" fillId="0" borderId="7" xfId="0" applyNumberFormat="1" applyFont="1" applyFill="1" applyBorder="1" applyAlignment="1" applyProtection="1">
      <alignment horizontal="right" vertical="center"/>
    </xf>
    <xf numFmtId="177" fontId="6" fillId="0" borderId="7" xfId="0" applyNumberFormat="1" applyFont="1" applyFill="1" applyBorder="1" applyAlignment="1" applyProtection="1">
      <alignment vertical="center"/>
    </xf>
    <xf numFmtId="177" fontId="6" fillId="0" borderId="5" xfId="0" applyNumberFormat="1" applyFont="1" applyFill="1" applyBorder="1" applyAlignment="1" applyProtection="1">
      <alignment horizontal="right" vertical="center"/>
    </xf>
    <xf numFmtId="177" fontId="6" fillId="0" borderId="7" xfId="3" applyNumberFormat="1" applyFont="1" applyFill="1" applyBorder="1" applyAlignment="1" applyProtection="1">
      <alignment horizontal="right" vertical="center"/>
    </xf>
    <xf numFmtId="177" fontId="20" fillId="0" borderId="7" xfId="0" applyNumberFormat="1" applyFont="1" applyFill="1" applyBorder="1" applyAlignment="1" applyProtection="1">
      <alignment vertical="center"/>
    </xf>
    <xf numFmtId="177" fontId="1" fillId="0" borderId="18" xfId="0" applyNumberFormat="1" applyFont="1" applyFill="1" applyBorder="1" applyAlignment="1" applyProtection="1">
      <alignment horizontal="right" vertical="center"/>
    </xf>
    <xf numFmtId="177" fontId="1" fillId="0" borderId="24" xfId="0" applyNumberFormat="1" applyFont="1" applyFill="1" applyBorder="1" applyAlignment="1" applyProtection="1">
      <alignment horizontal="right" vertical="center"/>
    </xf>
    <xf numFmtId="49" fontId="8" fillId="0" borderId="7" xfId="3" applyNumberFormat="1" applyFont="1" applyFill="1" applyBorder="1" applyAlignment="1" applyProtection="1">
      <alignment horizontal="center" vertical="center"/>
    </xf>
    <xf numFmtId="0" fontId="2" fillId="0" borderId="7" xfId="3" applyNumberFormat="1" applyFont="1" applyFill="1" applyBorder="1" applyAlignment="1" applyProtection="1">
      <alignment vertical="center"/>
    </xf>
    <xf numFmtId="49" fontId="8" fillId="0" borderId="23" xfId="3" applyNumberFormat="1" applyFont="1" applyFill="1" applyBorder="1" applyAlignment="1" applyProtection="1">
      <alignment horizontal="center" vertical="center"/>
    </xf>
    <xf numFmtId="0" fontId="2" fillId="0" borderId="23" xfId="3" applyNumberFormat="1" applyFont="1" applyFill="1" applyBorder="1" applyAlignment="1" applyProtection="1">
      <alignment vertical="center"/>
    </xf>
    <xf numFmtId="49" fontId="1" fillId="10" borderId="6" xfId="0" applyNumberFormat="1" applyFont="1" applyFill="1" applyBorder="1" applyAlignment="1" applyProtection="1">
      <alignment horizontal="center" vertical="center"/>
    </xf>
    <xf numFmtId="41" fontId="1" fillId="8" borderId="6" xfId="1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vertical="center"/>
    </xf>
    <xf numFmtId="0" fontId="2" fillId="0" borderId="23" xfId="0" applyNumberFormat="1" applyFont="1" applyFill="1" applyBorder="1" applyAlignment="1" applyProtection="1">
      <alignment vertical="center"/>
    </xf>
    <xf numFmtId="49" fontId="1" fillId="8" borderId="6" xfId="0" applyNumberFormat="1" applyFont="1" applyFill="1" applyBorder="1" applyAlignment="1" applyProtection="1">
      <alignment horizontal="center" vertical="center"/>
    </xf>
    <xf numFmtId="49" fontId="8" fillId="0" borderId="5" xfId="0" applyNumberFormat="1" applyFont="1" applyFill="1" applyBorder="1" applyAlignment="1" applyProtection="1">
      <alignment horizontal="center" vertical="center"/>
    </xf>
    <xf numFmtId="182" fontId="22" fillId="0" borderId="23" xfId="1" applyNumberFormat="1" applyFont="1" applyFill="1" applyBorder="1" applyAlignment="1" applyProtection="1">
      <alignment horizontal="center" vertical="center"/>
    </xf>
    <xf numFmtId="177" fontId="22" fillId="0" borderId="23" xfId="0" applyNumberFormat="1" applyFont="1" applyFill="1" applyBorder="1" applyAlignment="1" applyProtection="1">
      <alignment vertical="center"/>
    </xf>
    <xf numFmtId="177" fontId="22" fillId="7" borderId="23" xfId="0" applyNumberFormat="1" applyFont="1" applyFill="1" applyBorder="1" applyAlignment="1" applyProtection="1">
      <alignment vertical="center"/>
    </xf>
    <xf numFmtId="0" fontId="22" fillId="0" borderId="31" xfId="0" applyNumberFormat="1" applyFont="1" applyFill="1" applyBorder="1" applyAlignment="1" applyProtection="1">
      <alignment vertical="center"/>
    </xf>
    <xf numFmtId="49" fontId="27" fillId="0" borderId="7" xfId="0" applyNumberFormat="1" applyFont="1" applyFill="1" applyBorder="1" applyAlignment="1" applyProtection="1">
      <alignment horizontal="center" vertical="center"/>
    </xf>
    <xf numFmtId="0" fontId="22" fillId="0" borderId="7" xfId="0" applyNumberFormat="1" applyFont="1" applyFill="1" applyBorder="1" applyAlignment="1" applyProtection="1">
      <alignment vertical="center"/>
    </xf>
    <xf numFmtId="49" fontId="27" fillId="0" borderId="23" xfId="0" applyNumberFormat="1" applyFont="1" applyFill="1" applyBorder="1" applyAlignment="1" applyProtection="1">
      <alignment horizontal="center" vertical="center"/>
    </xf>
    <xf numFmtId="0" fontId="22" fillId="0" borderId="23" xfId="0" applyNumberFormat="1" applyFont="1" applyFill="1" applyBorder="1" applyAlignment="1" applyProtection="1">
      <alignment vertical="center"/>
    </xf>
    <xf numFmtId="9" fontId="40" fillId="6" borderId="21" xfId="2" applyFont="1" applyFill="1" applyBorder="1">
      <alignment vertical="center"/>
    </xf>
    <xf numFmtId="9" fontId="40" fillId="6" borderId="31" xfId="2" applyFont="1" applyFill="1" applyBorder="1">
      <alignment vertical="center"/>
    </xf>
    <xf numFmtId="0" fontId="53" fillId="12" borderId="29" xfId="3" applyNumberFormat="1" applyFont="1" applyFill="1" applyBorder="1" applyAlignment="1" applyProtection="1">
      <alignment horizontal="center" vertical="center" wrapText="1"/>
    </xf>
    <xf numFmtId="184" fontId="40" fillId="0" borderId="7" xfId="1" applyNumberFormat="1" applyFont="1" applyFill="1" applyBorder="1" applyAlignment="1" applyProtection="1">
      <alignment horizontal="center" vertical="center"/>
    </xf>
    <xf numFmtId="184" fontId="52" fillId="0" borderId="23" xfId="1" applyNumberFormat="1" applyFont="1" applyFill="1" applyBorder="1" applyAlignment="1" applyProtection="1">
      <alignment horizontal="center" vertical="center"/>
    </xf>
    <xf numFmtId="0" fontId="0" fillId="0" borderId="0" xfId="0" applyNumberFormat="1" applyAlignment="1">
      <alignment vertical="center"/>
    </xf>
    <xf numFmtId="9" fontId="15" fillId="0" borderId="0" xfId="2" applyAlignment="1">
      <alignment vertical="center"/>
    </xf>
    <xf numFmtId="0" fontId="53" fillId="0" borderId="21" xfId="0" applyNumberFormat="1" applyFont="1" applyFill="1" applyBorder="1" applyAlignment="1" applyProtection="1">
      <alignment horizontal="center" vertical="center"/>
    </xf>
    <xf numFmtId="9" fontId="40" fillId="0" borderId="21" xfId="2" applyFont="1" applyFill="1" applyBorder="1">
      <alignment vertical="center"/>
    </xf>
    <xf numFmtId="9" fontId="6" fillId="7" borderId="7" xfId="2" applyNumberFormat="1" applyFont="1" applyFill="1" applyBorder="1" applyAlignment="1" applyProtection="1">
      <alignment vertical="center"/>
    </xf>
    <xf numFmtId="0" fontId="59" fillId="0" borderId="7" xfId="0" applyNumberFormat="1" applyFont="1" applyBorder="1" applyAlignment="1">
      <alignment horizontal="center" vertical="center" wrapText="1"/>
    </xf>
    <xf numFmtId="3" fontId="60" fillId="0" borderId="7" xfId="0" applyNumberFormat="1" applyFont="1" applyBorder="1" applyAlignment="1">
      <alignment horizontal="center" vertical="center" wrapText="1"/>
    </xf>
    <xf numFmtId="41" fontId="57" fillId="0" borderId="7" xfId="1" applyFont="1" applyBorder="1">
      <alignment vertical="center"/>
    </xf>
    <xf numFmtId="3" fontId="59" fillId="0" borderId="7" xfId="0" applyNumberFormat="1" applyFont="1" applyBorder="1" applyAlignment="1">
      <alignment horizontal="center" vertical="center" wrapText="1"/>
    </xf>
    <xf numFmtId="3" fontId="61" fillId="0" borderId="7" xfId="0" applyNumberFormat="1" applyFont="1" applyBorder="1" applyAlignment="1">
      <alignment horizontal="center" vertical="center" wrapText="1"/>
    </xf>
    <xf numFmtId="3" fontId="62" fillId="0" borderId="7" xfId="0" applyNumberFormat="1" applyFont="1" applyBorder="1" applyAlignment="1">
      <alignment horizontal="center" vertical="center" wrapText="1"/>
    </xf>
    <xf numFmtId="0" fontId="60" fillId="0" borderId="7" xfId="0" applyNumberFormat="1" applyFont="1" applyBorder="1" applyAlignment="1">
      <alignment horizontal="center" vertical="center" wrapText="1"/>
    </xf>
    <xf numFmtId="0" fontId="56" fillId="11" borderId="41" xfId="0" applyNumberFormat="1" applyFont="1" applyFill="1" applyBorder="1" applyAlignment="1">
      <alignment horizontal="center" vertical="center" wrapText="1"/>
    </xf>
    <xf numFmtId="0" fontId="56" fillId="11" borderId="9" xfId="0" applyNumberFormat="1" applyFont="1" applyFill="1" applyBorder="1" applyAlignment="1">
      <alignment horizontal="center" vertical="center" wrapText="1"/>
    </xf>
    <xf numFmtId="0" fontId="56" fillId="11" borderId="29" xfId="0" applyNumberFormat="1" applyFont="1" applyFill="1" applyBorder="1" applyAlignment="1">
      <alignment horizontal="center" vertical="center" wrapText="1"/>
    </xf>
    <xf numFmtId="0" fontId="59" fillId="0" borderId="42" xfId="0" applyNumberFormat="1" applyFont="1" applyBorder="1" applyAlignment="1">
      <alignment horizontal="center" vertical="center" wrapText="1"/>
    </xf>
    <xf numFmtId="0" fontId="55" fillId="0" borderId="21" xfId="0" applyNumberFormat="1" applyFont="1" applyBorder="1" applyAlignment="1">
      <alignment horizontal="center" vertical="center" wrapText="1"/>
    </xf>
    <xf numFmtId="0" fontId="55" fillId="0" borderId="21" xfId="0" applyNumberFormat="1" applyFont="1" applyBorder="1" applyAlignment="1">
      <alignment vertical="center" wrapText="1"/>
    </xf>
    <xf numFmtId="0" fontId="59" fillId="0" borderId="43" xfId="0" applyNumberFormat="1" applyFont="1" applyBorder="1" applyAlignment="1">
      <alignment horizontal="center" vertical="center" wrapText="1"/>
    </xf>
    <xf numFmtId="0" fontId="59" fillId="0" borderId="23" xfId="0" applyNumberFormat="1" applyFont="1" applyBorder="1" applyAlignment="1">
      <alignment horizontal="center" vertical="center" wrapText="1"/>
    </xf>
    <xf numFmtId="0" fontId="68" fillId="0" borderId="23" xfId="0" applyNumberFormat="1" applyFont="1" applyBorder="1" applyAlignment="1">
      <alignment horizontal="center" vertical="center" wrapText="1"/>
    </xf>
    <xf numFmtId="3" fontId="60" fillId="0" borderId="23" xfId="0" applyNumberFormat="1" applyFont="1" applyBorder="1" applyAlignment="1">
      <alignment horizontal="center" vertical="center" wrapText="1"/>
    </xf>
    <xf numFmtId="41" fontId="57" fillId="0" borderId="23" xfId="1" applyFont="1" applyBorder="1">
      <alignment vertical="center"/>
    </xf>
    <xf numFmtId="3" fontId="59" fillId="0" borderId="23" xfId="0" applyNumberFormat="1" applyFont="1" applyBorder="1" applyAlignment="1">
      <alignment horizontal="center" vertical="center" wrapText="1"/>
    </xf>
    <xf numFmtId="3" fontId="61" fillId="0" borderId="23" xfId="0" applyNumberFormat="1" applyFont="1" applyBorder="1" applyAlignment="1">
      <alignment horizontal="center" vertical="center" wrapText="1"/>
    </xf>
    <xf numFmtId="3" fontId="62" fillId="0" borderId="23" xfId="0" applyNumberFormat="1" applyFont="1" applyBorder="1" applyAlignment="1">
      <alignment horizontal="center" vertical="center" wrapText="1"/>
    </xf>
    <xf numFmtId="0" fontId="55" fillId="0" borderId="31" xfId="0" applyNumberFormat="1" applyFont="1" applyBorder="1" applyAlignment="1">
      <alignment vertical="center" wrapText="1"/>
    </xf>
    <xf numFmtId="49" fontId="1" fillId="0" borderId="23" xfId="0" applyNumberFormat="1" applyFont="1" applyFill="1" applyBorder="1" applyAlignment="1" applyProtection="1">
      <alignment horizontal="center" vertical="center"/>
    </xf>
    <xf numFmtId="49" fontId="1" fillId="0" borderId="18" xfId="0" applyNumberFormat="1" applyFont="1" applyFill="1" applyBorder="1" applyAlignment="1" applyProtection="1">
      <alignment horizontal="left" vertical="center"/>
    </xf>
    <xf numFmtId="49" fontId="45" fillId="0" borderId="35" xfId="0" applyNumberFormat="1" applyFont="1" applyFill="1" applyBorder="1" applyAlignment="1" applyProtection="1">
      <alignment horizontal="left" vertical="center"/>
    </xf>
    <xf numFmtId="49" fontId="1" fillId="8" borderId="10" xfId="0" applyNumberFormat="1" applyFont="1" applyFill="1" applyBorder="1" applyAlignment="1" applyProtection="1">
      <alignment horizontal="center" vertical="center"/>
    </xf>
    <xf numFmtId="9" fontId="62" fillId="0" borderId="7" xfId="0" applyNumberFormat="1" applyFont="1" applyBorder="1" applyAlignment="1">
      <alignment horizontal="center" vertical="center" wrapText="1"/>
    </xf>
    <xf numFmtId="9" fontId="62" fillId="0" borderId="7" xfId="0" applyNumberFormat="1" applyFont="1" applyFill="1" applyBorder="1" applyAlignment="1">
      <alignment horizontal="center" vertical="center" wrapText="1"/>
    </xf>
    <xf numFmtId="9" fontId="62" fillId="0" borderId="23" xfId="0" applyNumberFormat="1" applyFont="1" applyBorder="1" applyAlignment="1">
      <alignment horizontal="center" vertical="center" wrapText="1"/>
    </xf>
    <xf numFmtId="49" fontId="18" fillId="0" borderId="17" xfId="0" applyNumberFormat="1" applyFont="1" applyFill="1" applyBorder="1" applyAlignment="1" applyProtection="1">
      <alignment horizontal="center" vertical="center"/>
    </xf>
    <xf numFmtId="49" fontId="18" fillId="0" borderId="30" xfId="0" applyNumberFormat="1" applyFont="1" applyFill="1" applyBorder="1" applyAlignment="1" applyProtection="1">
      <alignment horizontal="center" vertical="center"/>
    </xf>
    <xf numFmtId="0" fontId="58" fillId="0" borderId="21" xfId="0" applyNumberFormat="1" applyFont="1" applyBorder="1" applyAlignment="1">
      <alignment horizontal="center" vertical="center" wrapText="1"/>
    </xf>
    <xf numFmtId="0" fontId="15" fillId="0" borderId="0" xfId="0" applyNumberFormat="1" applyFont="1" applyAlignment="1">
      <alignment vertical="center"/>
    </xf>
    <xf numFmtId="177" fontId="11" fillId="0" borderId="23" xfId="0" applyNumberFormat="1" applyFont="1" applyFill="1" applyBorder="1" applyAlignment="1" applyProtection="1">
      <alignment vertical="center"/>
    </xf>
    <xf numFmtId="177" fontId="11" fillId="0" borderId="23" xfId="0" applyNumberFormat="1" applyFont="1" applyFill="1" applyBorder="1" applyAlignment="1" applyProtection="1">
      <alignment horizontal="right" vertical="center"/>
    </xf>
    <xf numFmtId="0" fontId="68" fillId="0" borderId="7" xfId="0" applyNumberFormat="1" applyFont="1" applyBorder="1" applyAlignment="1">
      <alignment horizontal="center" vertical="center" wrapText="1"/>
    </xf>
    <xf numFmtId="176" fontId="2" fillId="0" borderId="18" xfId="0" applyNumberFormat="1" applyFont="1" applyFill="1" applyBorder="1" applyAlignment="1" applyProtection="1">
      <alignment horizontal="left" vertical="center"/>
    </xf>
    <xf numFmtId="176" fontId="2" fillId="0" borderId="17" xfId="0" applyNumberFormat="1" applyFont="1" applyFill="1" applyBorder="1" applyAlignment="1" applyProtection="1">
      <alignment horizontal="left" vertical="center"/>
    </xf>
    <xf numFmtId="49" fontId="2" fillId="0" borderId="18" xfId="0" applyNumberFormat="1" applyFont="1" applyFill="1" applyBorder="1" applyAlignment="1" applyProtection="1">
      <alignment horizontal="left" vertical="center"/>
    </xf>
    <xf numFmtId="49" fontId="2" fillId="0" borderId="23" xfId="0" applyNumberFormat="1" applyFont="1" applyFill="1" applyBorder="1" applyAlignment="1" applyProtection="1">
      <alignment horizontal="center" vertical="center"/>
    </xf>
    <xf numFmtId="178" fontId="2" fillId="0" borderId="9" xfId="0" applyNumberFormat="1" applyFont="1" applyFill="1" applyBorder="1" applyAlignment="1" applyProtection="1">
      <alignment horizontal="left" vertical="center"/>
    </xf>
    <xf numFmtId="9" fontId="15" fillId="0" borderId="51" xfId="2" applyBorder="1">
      <alignment vertical="center"/>
    </xf>
    <xf numFmtId="176" fontId="1" fillId="0" borderId="18" xfId="0" applyNumberFormat="1" applyFont="1" applyFill="1" applyBorder="1" applyAlignment="1" applyProtection="1">
      <alignment horizontal="left" vertical="center"/>
    </xf>
    <xf numFmtId="49" fontId="1" fillId="0" borderId="18" xfId="0" applyNumberFormat="1" applyFont="1" applyFill="1" applyBorder="1" applyAlignment="1" applyProtection="1">
      <alignment horizontal="left" vertical="center"/>
    </xf>
    <xf numFmtId="49" fontId="1" fillId="0" borderId="19" xfId="0" applyNumberFormat="1" applyFont="1" applyFill="1" applyBorder="1" applyAlignment="1" applyProtection="1">
      <alignment vertical="center"/>
    </xf>
    <xf numFmtId="9" fontId="15" fillId="6" borderId="28" xfId="2" applyFill="1" applyBorder="1">
      <alignment vertical="center"/>
    </xf>
    <xf numFmtId="9" fontId="40" fillId="6" borderId="28" xfId="2" applyFont="1" applyFill="1" applyBorder="1">
      <alignment vertical="center"/>
    </xf>
    <xf numFmtId="49" fontId="1" fillId="8" borderId="10" xfId="0" applyNumberFormat="1" applyFont="1" applyFill="1" applyBorder="1" applyAlignment="1" applyProtection="1">
      <alignment horizontal="center" vertical="center"/>
    </xf>
    <xf numFmtId="176" fontId="2" fillId="0" borderId="18" xfId="0" applyNumberFormat="1" applyFont="1" applyFill="1" applyBorder="1" applyAlignment="1" applyProtection="1">
      <alignment horizontal="left" vertical="center"/>
    </xf>
    <xf numFmtId="176" fontId="2" fillId="0" borderId="17" xfId="0" applyNumberFormat="1" applyFont="1" applyFill="1" applyBorder="1" applyAlignment="1" applyProtection="1">
      <alignment horizontal="left" vertical="center"/>
    </xf>
    <xf numFmtId="49" fontId="2" fillId="0" borderId="18" xfId="0" applyNumberFormat="1" applyFont="1" applyFill="1" applyBorder="1" applyAlignment="1" applyProtection="1">
      <alignment horizontal="left" vertical="center"/>
    </xf>
    <xf numFmtId="49" fontId="2" fillId="0" borderId="23" xfId="0" applyNumberFormat="1" applyFont="1" applyFill="1" applyBorder="1" applyAlignment="1" applyProtection="1">
      <alignment horizontal="center" vertical="center"/>
    </xf>
    <xf numFmtId="0" fontId="69" fillId="0" borderId="7" xfId="0" applyNumberFormat="1" applyFont="1" applyBorder="1" applyAlignment="1">
      <alignment horizontal="center" vertical="center" wrapText="1"/>
    </xf>
    <xf numFmtId="9" fontId="29" fillId="0" borderId="7" xfId="2" applyNumberFormat="1" applyFont="1" applyFill="1" applyBorder="1" applyAlignment="1" applyProtection="1">
      <alignment vertical="center"/>
    </xf>
    <xf numFmtId="176" fontId="1" fillId="8" borderId="10" xfId="0" applyNumberFormat="1" applyFont="1" applyFill="1" applyBorder="1" applyAlignment="1" applyProtection="1">
      <alignment horizontal="center" vertical="center"/>
    </xf>
    <xf numFmtId="176" fontId="1" fillId="8" borderId="11" xfId="0" applyNumberFormat="1" applyFont="1" applyFill="1" applyBorder="1" applyAlignment="1" applyProtection="1">
      <alignment horizontal="center" vertical="center"/>
    </xf>
    <xf numFmtId="176" fontId="1" fillId="8" borderId="12" xfId="0" applyNumberFormat="1" applyFont="1" applyFill="1" applyBorder="1" applyAlignment="1" applyProtection="1">
      <alignment horizontal="center" vertical="center"/>
    </xf>
    <xf numFmtId="49" fontId="20" fillId="8" borderId="41" xfId="0" applyNumberFormat="1" applyFont="1" applyFill="1" applyBorder="1" applyAlignment="1" applyProtection="1">
      <alignment horizontal="center" vertical="center" wrapText="1"/>
    </xf>
    <xf numFmtId="49" fontId="20" fillId="8" borderId="42" xfId="0" applyNumberFormat="1" applyFont="1" applyFill="1" applyBorder="1" applyAlignment="1" applyProtection="1">
      <alignment horizontal="center" vertical="center" wrapText="1"/>
    </xf>
    <xf numFmtId="49" fontId="20" fillId="8" borderId="43" xfId="0" applyNumberFormat="1" applyFont="1" applyFill="1" applyBorder="1" applyAlignment="1" applyProtection="1">
      <alignment horizontal="center" vertical="center" wrapText="1"/>
    </xf>
    <xf numFmtId="0" fontId="20" fillId="8" borderId="44" xfId="0" applyNumberFormat="1" applyFont="1" applyFill="1" applyBorder="1" applyAlignment="1" applyProtection="1">
      <alignment horizontal="center" vertical="center" wrapText="1"/>
    </xf>
    <xf numFmtId="0" fontId="20" fillId="8" borderId="45" xfId="0" applyNumberFormat="1" applyFont="1" applyFill="1" applyBorder="1" applyAlignment="1" applyProtection="1">
      <alignment horizontal="center" vertical="center"/>
    </xf>
    <xf numFmtId="0" fontId="20" fillId="8" borderId="4" xfId="0" applyNumberFormat="1" applyFont="1" applyFill="1" applyBorder="1" applyAlignment="1" applyProtection="1">
      <alignment horizontal="center" vertical="center"/>
    </xf>
    <xf numFmtId="0" fontId="53" fillId="12" borderId="29" xfId="0" applyNumberFormat="1" applyFont="1" applyFill="1" applyBorder="1" applyAlignment="1" applyProtection="1">
      <alignment horizontal="center" vertical="center" wrapText="1"/>
    </xf>
    <xf numFmtId="0" fontId="53" fillId="12" borderId="21" xfId="0" applyNumberFormat="1" applyFont="1" applyFill="1" applyBorder="1" applyAlignment="1" applyProtection="1">
      <alignment horizontal="center" vertical="center"/>
    </xf>
    <xf numFmtId="0" fontId="1" fillId="8" borderId="44" xfId="0" applyNumberFormat="1" applyFont="1" applyFill="1" applyBorder="1" applyAlignment="1" applyProtection="1">
      <alignment horizontal="center" vertical="center"/>
    </xf>
    <xf numFmtId="0" fontId="1" fillId="8" borderId="45" xfId="0" applyNumberFormat="1" applyFont="1" applyFill="1" applyBorder="1" applyAlignment="1" applyProtection="1">
      <alignment horizontal="center" vertical="center"/>
    </xf>
    <xf numFmtId="0" fontId="1" fillId="8" borderId="4" xfId="0" applyNumberFormat="1" applyFont="1" applyFill="1" applyBorder="1" applyAlignment="1" applyProtection="1">
      <alignment horizontal="center" vertical="center"/>
    </xf>
    <xf numFmtId="0" fontId="20" fillId="8" borderId="45" xfId="0" applyNumberFormat="1" applyFont="1" applyFill="1" applyBorder="1" applyAlignment="1" applyProtection="1">
      <alignment horizontal="center" vertical="center" wrapText="1"/>
    </xf>
    <xf numFmtId="49" fontId="20" fillId="8" borderId="44" xfId="0" applyNumberFormat="1" applyFont="1" applyFill="1" applyBorder="1" applyAlignment="1" applyProtection="1">
      <alignment horizontal="center" vertical="center" wrapText="1"/>
    </xf>
    <xf numFmtId="49" fontId="20" fillId="8" borderId="45" xfId="0" applyNumberFormat="1" applyFont="1" applyFill="1" applyBorder="1" applyAlignment="1" applyProtection="1">
      <alignment horizontal="center" vertical="center"/>
    </xf>
    <xf numFmtId="49" fontId="20" fillId="8" borderId="45" xfId="0" applyNumberFormat="1" applyFont="1" applyFill="1" applyBorder="1" applyAlignment="1" applyProtection="1">
      <alignment horizontal="center" vertical="center" wrapText="1"/>
    </xf>
    <xf numFmtId="0" fontId="1" fillId="8" borderId="41" xfId="0" applyNumberFormat="1" applyFont="1" applyFill="1" applyBorder="1" applyAlignment="1" applyProtection="1">
      <alignment horizontal="center" vertical="center" wrapText="1"/>
    </xf>
    <xf numFmtId="0" fontId="1" fillId="8" borderId="42" xfId="0" applyNumberFormat="1" applyFont="1" applyFill="1" applyBorder="1" applyAlignment="1" applyProtection="1">
      <alignment horizontal="center" vertical="center"/>
    </xf>
    <xf numFmtId="0" fontId="1" fillId="8" borderId="54" xfId="0" applyNumberFormat="1" applyFont="1" applyFill="1" applyBorder="1" applyAlignment="1" applyProtection="1">
      <alignment horizontal="center" vertical="center"/>
    </xf>
    <xf numFmtId="0" fontId="1" fillId="8" borderId="43" xfId="0" applyNumberFormat="1" applyFont="1" applyFill="1" applyBorder="1" applyAlignment="1" applyProtection="1">
      <alignment horizontal="center" vertical="center"/>
    </xf>
    <xf numFmtId="49" fontId="34" fillId="8" borderId="46" xfId="0" applyNumberFormat="1" applyFont="1" applyFill="1" applyBorder="1" applyAlignment="1" applyProtection="1">
      <alignment horizontal="center" vertical="center"/>
    </xf>
    <xf numFmtId="0" fontId="29" fillId="8" borderId="45" xfId="0" applyNumberFormat="1" applyFont="1" applyFill="1" applyBorder="1" applyAlignment="1" applyProtection="1">
      <alignment horizontal="center" vertical="center"/>
    </xf>
    <xf numFmtId="0" fontId="29" fillId="8" borderId="4" xfId="0" applyNumberFormat="1" applyFont="1" applyFill="1" applyBorder="1" applyAlignment="1" applyProtection="1">
      <alignment horizontal="center" vertical="center"/>
    </xf>
    <xf numFmtId="0" fontId="2" fillId="0" borderId="18" xfId="0" applyNumberFormat="1" applyFont="1" applyFill="1" applyBorder="1" applyAlignment="1" applyProtection="1">
      <alignment horizontal="center" vertical="center"/>
    </xf>
    <xf numFmtId="0" fontId="2" fillId="0" borderId="17" xfId="0" applyNumberFormat="1" applyFont="1" applyFill="1" applyBorder="1" applyAlignment="1" applyProtection="1">
      <alignment horizontal="center" vertical="center"/>
    </xf>
    <xf numFmtId="0" fontId="13" fillId="0" borderId="7" xfId="0" applyNumberFormat="1" applyFont="1" applyFill="1" applyBorder="1" applyAlignment="1" applyProtection="1">
      <alignment horizontal="left" vertical="center"/>
    </xf>
    <xf numFmtId="0" fontId="13" fillId="0" borderId="21" xfId="0" applyNumberFormat="1" applyFont="1" applyFill="1" applyBorder="1" applyAlignment="1" applyProtection="1">
      <alignment horizontal="left" vertical="center"/>
    </xf>
    <xf numFmtId="49" fontId="1" fillId="0" borderId="23" xfId="0" applyNumberFormat="1" applyFont="1" applyFill="1" applyBorder="1" applyAlignment="1" applyProtection="1">
      <alignment horizontal="center" vertical="center"/>
    </xf>
    <xf numFmtId="176" fontId="2" fillId="0" borderId="18" xfId="0" applyNumberFormat="1" applyFont="1" applyFill="1" applyBorder="1" applyAlignment="1" applyProtection="1">
      <alignment horizontal="left" vertical="center"/>
    </xf>
    <xf numFmtId="176" fontId="2" fillId="0" borderId="19" xfId="0" applyNumberFormat="1" applyFont="1" applyFill="1" applyBorder="1" applyAlignment="1" applyProtection="1">
      <alignment horizontal="left" vertical="center"/>
    </xf>
    <xf numFmtId="176" fontId="2" fillId="0" borderId="17" xfId="0" applyNumberFormat="1" applyFont="1" applyFill="1" applyBorder="1" applyAlignment="1" applyProtection="1">
      <alignment horizontal="left" vertical="center"/>
    </xf>
    <xf numFmtId="0" fontId="13" fillId="0" borderId="18" xfId="0" applyNumberFormat="1" applyFont="1" applyFill="1" applyBorder="1" applyAlignment="1" applyProtection="1">
      <alignment horizontal="left" vertical="center"/>
    </xf>
    <xf numFmtId="0" fontId="13" fillId="0" borderId="19" xfId="0" applyNumberFormat="1" applyFont="1" applyFill="1" applyBorder="1" applyAlignment="1" applyProtection="1">
      <alignment horizontal="left" vertical="center"/>
    </xf>
    <xf numFmtId="0" fontId="13" fillId="0" borderId="20" xfId="0" applyNumberFormat="1" applyFont="1" applyFill="1" applyBorder="1" applyAlignment="1" applyProtection="1">
      <alignment horizontal="left" vertical="center"/>
    </xf>
    <xf numFmtId="176" fontId="2" fillId="0" borderId="21" xfId="0" applyNumberFormat="1" applyFont="1" applyFill="1" applyBorder="1" applyAlignment="1" applyProtection="1">
      <alignment horizontal="left" vertical="center"/>
    </xf>
    <xf numFmtId="176" fontId="2" fillId="0" borderId="29" xfId="0" applyNumberFormat="1" applyFont="1" applyFill="1" applyBorder="1" applyAlignment="1" applyProtection="1">
      <alignment horizontal="left" vertical="center"/>
    </xf>
    <xf numFmtId="49" fontId="33" fillId="8" borderId="39" xfId="0" applyNumberFormat="1" applyFont="1" applyFill="1" applyBorder="1" applyAlignment="1" applyProtection="1">
      <alignment horizontal="center" vertical="center"/>
    </xf>
    <xf numFmtId="49" fontId="33" fillId="8" borderId="27" xfId="0" applyNumberFormat="1" applyFont="1" applyFill="1" applyBorder="1" applyAlignment="1" applyProtection="1">
      <alignment horizontal="center" vertical="center"/>
    </xf>
    <xf numFmtId="49" fontId="33" fillId="8" borderId="40" xfId="0" applyNumberFormat="1" applyFont="1" applyFill="1" applyBorder="1" applyAlignment="1" applyProtection="1">
      <alignment horizontal="center" vertical="center"/>
    </xf>
    <xf numFmtId="176" fontId="1" fillId="0" borderId="18" xfId="0" applyNumberFormat="1" applyFont="1" applyFill="1" applyBorder="1" applyAlignment="1" applyProtection="1">
      <alignment horizontal="left" vertical="center"/>
    </xf>
    <xf numFmtId="176" fontId="1" fillId="0" borderId="17" xfId="0" applyNumberFormat="1" applyFont="1" applyFill="1" applyBorder="1" applyAlignment="1" applyProtection="1">
      <alignment horizontal="left" vertical="center"/>
    </xf>
    <xf numFmtId="0" fontId="1" fillId="0" borderId="18" xfId="0" applyNumberFormat="1" applyFont="1" applyFill="1" applyBorder="1" applyAlignment="1" applyProtection="1">
      <alignment horizontal="center" vertical="center"/>
    </xf>
    <xf numFmtId="0" fontId="1" fillId="0" borderId="17" xfId="0" applyNumberFormat="1" applyFont="1" applyFill="1" applyBorder="1" applyAlignment="1" applyProtection="1">
      <alignment horizontal="center" vertical="center"/>
    </xf>
    <xf numFmtId="0" fontId="37" fillId="0" borderId="7" xfId="0" applyNumberFormat="1" applyFont="1" applyFill="1" applyBorder="1" applyAlignment="1" applyProtection="1">
      <alignment horizontal="left" vertical="center"/>
    </xf>
    <xf numFmtId="0" fontId="37" fillId="0" borderId="21" xfId="0" applyNumberFormat="1" applyFont="1" applyFill="1" applyBorder="1" applyAlignment="1" applyProtection="1">
      <alignment horizontal="left" vertical="center"/>
    </xf>
    <xf numFmtId="49" fontId="1" fillId="0" borderId="18" xfId="0" applyNumberFormat="1" applyFont="1" applyFill="1" applyBorder="1" applyAlignment="1" applyProtection="1">
      <alignment horizontal="left" vertical="center"/>
    </xf>
    <xf numFmtId="0" fontId="1" fillId="0" borderId="18" xfId="0" applyNumberFormat="1" applyFont="1" applyFill="1" applyBorder="1" applyAlignment="1" applyProtection="1">
      <alignment horizontal="left" vertical="center"/>
    </xf>
    <xf numFmtId="0" fontId="1" fillId="0" borderId="19" xfId="0" applyNumberFormat="1" applyFont="1" applyFill="1" applyBorder="1" applyAlignment="1" applyProtection="1">
      <alignment horizontal="left" vertical="center"/>
    </xf>
    <xf numFmtId="0" fontId="1" fillId="0" borderId="20" xfId="0" applyNumberFormat="1" applyFont="1" applyFill="1" applyBorder="1" applyAlignment="1" applyProtection="1">
      <alignment horizontal="left" vertical="center"/>
    </xf>
    <xf numFmtId="49" fontId="20" fillId="8" borderId="4" xfId="0" applyNumberFormat="1" applyFont="1" applyFill="1" applyBorder="1" applyAlignment="1" applyProtection="1">
      <alignment horizontal="center" vertical="center" wrapText="1"/>
    </xf>
    <xf numFmtId="49" fontId="30" fillId="8" borderId="44" xfId="0" applyNumberFormat="1" applyFont="1" applyFill="1" applyBorder="1" applyAlignment="1" applyProtection="1">
      <alignment horizontal="center" vertical="center" wrapText="1"/>
    </xf>
    <xf numFmtId="49" fontId="30" fillId="8" borderId="45" xfId="0" applyNumberFormat="1" applyFont="1" applyFill="1" applyBorder="1" applyAlignment="1" applyProtection="1">
      <alignment horizontal="center" vertical="center"/>
    </xf>
    <xf numFmtId="49" fontId="30" fillId="8" borderId="45" xfId="0" applyNumberFormat="1" applyFont="1" applyFill="1" applyBorder="1" applyAlignment="1" applyProtection="1">
      <alignment horizontal="center" vertical="center" wrapText="1"/>
    </xf>
    <xf numFmtId="49" fontId="33" fillId="8" borderId="46" xfId="0" applyNumberFormat="1" applyFont="1" applyFill="1" applyBorder="1" applyAlignment="1" applyProtection="1">
      <alignment horizontal="center" vertical="center"/>
    </xf>
    <xf numFmtId="0" fontId="20" fillId="8" borderId="47" xfId="0" applyNumberFormat="1" applyFont="1" applyFill="1" applyBorder="1" applyAlignment="1" applyProtection="1">
      <alignment horizontal="center" vertical="center" wrapText="1"/>
    </xf>
    <xf numFmtId="49" fontId="21" fillId="8" borderId="39" xfId="0" applyNumberFormat="1" applyFont="1" applyFill="1" applyBorder="1" applyAlignment="1" applyProtection="1">
      <alignment horizontal="center" vertical="center"/>
    </xf>
    <xf numFmtId="49" fontId="21" fillId="8" borderId="27" xfId="0" applyNumberFormat="1" applyFont="1" applyFill="1" applyBorder="1" applyAlignment="1" applyProtection="1">
      <alignment horizontal="center" vertical="center"/>
    </xf>
    <xf numFmtId="49" fontId="21" fillId="8" borderId="40" xfId="0" applyNumberFormat="1" applyFont="1" applyFill="1" applyBorder="1" applyAlignment="1" applyProtection="1">
      <alignment horizontal="center" vertical="center"/>
    </xf>
    <xf numFmtId="0" fontId="1" fillId="8" borderId="44" xfId="0" applyNumberFormat="1" applyFont="1" applyFill="1" applyBorder="1" applyAlignment="1" applyProtection="1">
      <alignment horizontal="center" vertical="center" wrapText="1"/>
    </xf>
    <xf numFmtId="0" fontId="1" fillId="8" borderId="45" xfId="0" applyNumberFormat="1" applyFont="1" applyFill="1" applyBorder="1" applyAlignment="1" applyProtection="1">
      <alignment horizontal="center" vertical="center" wrapText="1"/>
    </xf>
    <xf numFmtId="0" fontId="1" fillId="8" borderId="2" xfId="0" applyNumberFormat="1" applyFont="1" applyFill="1" applyBorder="1" applyAlignment="1" applyProtection="1">
      <alignment horizontal="center" vertical="center"/>
    </xf>
    <xf numFmtId="0" fontId="1" fillId="8" borderId="42" xfId="0" applyNumberFormat="1" applyFont="1" applyFill="1" applyBorder="1" applyAlignment="1" applyProtection="1">
      <alignment horizontal="center" vertical="center" wrapText="1"/>
    </xf>
    <xf numFmtId="49" fontId="1" fillId="8" borderId="44" xfId="0" applyNumberFormat="1" applyFont="1" applyFill="1" applyBorder="1" applyAlignment="1" applyProtection="1">
      <alignment horizontal="center" vertical="center" wrapText="1"/>
    </xf>
    <xf numFmtId="49" fontId="1" fillId="8" borderId="45" xfId="0" applyNumberFormat="1" applyFont="1" applyFill="1" applyBorder="1" applyAlignment="1" applyProtection="1">
      <alignment horizontal="center" vertical="center"/>
    </xf>
    <xf numFmtId="49" fontId="1" fillId="8" borderId="47" xfId="0" applyNumberFormat="1" applyFont="1" applyFill="1" applyBorder="1" applyAlignment="1" applyProtection="1">
      <alignment horizontal="center" vertical="center" wrapText="1"/>
    </xf>
    <xf numFmtId="0" fontId="1" fillId="0" borderId="18" xfId="0" applyNumberFormat="1" applyFont="1" applyFill="1" applyBorder="1" applyAlignment="1" applyProtection="1">
      <alignment horizontal="center" vertical="center" wrapText="1"/>
    </xf>
    <xf numFmtId="0" fontId="1" fillId="0" borderId="20" xfId="0" applyNumberFormat="1" applyFont="1" applyFill="1" applyBorder="1" applyAlignment="1" applyProtection="1">
      <alignment horizontal="center" vertical="center"/>
    </xf>
    <xf numFmtId="176" fontId="42" fillId="7" borderId="7" xfId="0" applyNumberFormat="1" applyFont="1" applyFill="1" applyBorder="1" applyAlignment="1" applyProtection="1">
      <alignment horizontal="center" vertical="center"/>
    </xf>
    <xf numFmtId="0" fontId="42" fillId="7" borderId="7" xfId="0" applyNumberFormat="1" applyFont="1" applyFill="1" applyBorder="1" applyAlignment="1" applyProtection="1">
      <alignment horizontal="center" vertical="center"/>
    </xf>
    <xf numFmtId="49" fontId="23" fillId="8" borderId="41" xfId="0" applyNumberFormat="1" applyFont="1" applyFill="1" applyBorder="1" applyAlignment="1" applyProtection="1">
      <alignment horizontal="center" vertical="center" wrapText="1"/>
    </xf>
    <xf numFmtId="49" fontId="23" fillId="8" borderId="42" xfId="0" applyNumberFormat="1" applyFont="1" applyFill="1" applyBorder="1" applyAlignment="1" applyProtection="1">
      <alignment horizontal="center" vertical="center" wrapText="1"/>
    </xf>
    <xf numFmtId="49" fontId="23" fillId="8" borderId="43" xfId="0" applyNumberFormat="1" applyFont="1" applyFill="1" applyBorder="1" applyAlignment="1" applyProtection="1">
      <alignment horizontal="center" vertical="center" wrapText="1"/>
    </xf>
    <xf numFmtId="0" fontId="23" fillId="8" borderId="44" xfId="0" applyNumberFormat="1" applyFont="1" applyFill="1" applyBorder="1" applyAlignment="1" applyProtection="1">
      <alignment horizontal="center" vertical="center" wrapText="1"/>
    </xf>
    <xf numFmtId="0" fontId="23" fillId="8" borderId="45" xfId="0" applyNumberFormat="1" applyFont="1" applyFill="1" applyBorder="1" applyAlignment="1" applyProtection="1">
      <alignment horizontal="center" vertical="center"/>
    </xf>
    <xf numFmtId="0" fontId="23" fillId="8" borderId="4" xfId="0" applyNumberFormat="1" applyFont="1" applyFill="1" applyBorder="1" applyAlignment="1" applyProtection="1">
      <alignment horizontal="center" vertical="center"/>
    </xf>
    <xf numFmtId="0" fontId="23" fillId="8" borderId="45" xfId="0" applyNumberFormat="1" applyFont="1" applyFill="1" applyBorder="1" applyAlignment="1" applyProtection="1">
      <alignment horizontal="center" vertical="center" wrapText="1"/>
    </xf>
    <xf numFmtId="49" fontId="23" fillId="8" borderId="44" xfId="0" applyNumberFormat="1" applyFont="1" applyFill="1" applyBorder="1" applyAlignment="1" applyProtection="1">
      <alignment horizontal="center" vertical="center" wrapText="1"/>
    </xf>
    <xf numFmtId="49" fontId="23" fillId="8" borderId="45" xfId="0" applyNumberFormat="1" applyFont="1" applyFill="1" applyBorder="1" applyAlignment="1" applyProtection="1">
      <alignment horizontal="center" vertical="center"/>
    </xf>
    <xf numFmtId="49" fontId="23" fillId="8" borderId="45" xfId="0" applyNumberFormat="1" applyFont="1" applyFill="1" applyBorder="1" applyAlignment="1" applyProtection="1">
      <alignment horizontal="center" vertical="center" wrapText="1"/>
    </xf>
    <xf numFmtId="0" fontId="29" fillId="0" borderId="18" xfId="0" applyNumberFormat="1" applyFont="1" applyFill="1" applyBorder="1" applyAlignment="1" applyProtection="1">
      <alignment horizontal="center" vertical="center"/>
    </xf>
    <xf numFmtId="0" fontId="29" fillId="0" borderId="17" xfId="0" applyNumberFormat="1" applyFont="1" applyFill="1" applyBorder="1" applyAlignment="1" applyProtection="1">
      <alignment horizontal="center" vertical="center"/>
    </xf>
    <xf numFmtId="0" fontId="24" fillId="0" borderId="19" xfId="0" applyNumberFormat="1" applyFont="1" applyFill="1" applyBorder="1" applyAlignment="1" applyProtection="1">
      <alignment horizontal="left" vertical="center"/>
    </xf>
    <xf numFmtId="0" fontId="24" fillId="0" borderId="20" xfId="0" applyNumberFormat="1" applyFont="1" applyFill="1" applyBorder="1" applyAlignment="1" applyProtection="1">
      <alignment horizontal="left" vertical="center"/>
    </xf>
    <xf numFmtId="49" fontId="21" fillId="8" borderId="46" xfId="0" applyNumberFormat="1" applyFont="1" applyFill="1" applyBorder="1" applyAlignment="1" applyProtection="1">
      <alignment horizontal="center" vertical="center"/>
    </xf>
    <xf numFmtId="0" fontId="22" fillId="8" borderId="45" xfId="0" applyNumberFormat="1" applyFont="1" applyFill="1" applyBorder="1" applyAlignment="1" applyProtection="1">
      <alignment horizontal="center" vertical="center"/>
    </xf>
    <xf numFmtId="0" fontId="22" fillId="8" borderId="4" xfId="0" applyNumberFormat="1" applyFont="1" applyFill="1" applyBorder="1" applyAlignment="1" applyProtection="1">
      <alignment horizontal="center" vertical="center"/>
    </xf>
    <xf numFmtId="0" fontId="22" fillId="0" borderId="18" xfId="0" applyNumberFormat="1" applyFont="1" applyFill="1" applyBorder="1" applyAlignment="1" applyProtection="1">
      <alignment horizontal="center" vertical="center"/>
    </xf>
    <xf numFmtId="0" fontId="22" fillId="0" borderId="17" xfId="0" applyNumberFormat="1" applyFont="1" applyFill="1" applyBorder="1" applyAlignment="1" applyProtection="1">
      <alignment horizontal="center" vertical="center"/>
    </xf>
    <xf numFmtId="0" fontId="24" fillId="0" borderId="7" xfId="0" applyNumberFormat="1" applyFont="1" applyFill="1" applyBorder="1" applyAlignment="1" applyProtection="1">
      <alignment horizontal="left" vertical="center"/>
    </xf>
    <xf numFmtId="0" fontId="24" fillId="0" borderId="21" xfId="0" applyNumberFormat="1" applyFont="1" applyFill="1" applyBorder="1" applyAlignment="1" applyProtection="1">
      <alignment horizontal="left" vertical="center"/>
    </xf>
    <xf numFmtId="49" fontId="23" fillId="0" borderId="23" xfId="0" applyNumberFormat="1" applyFont="1" applyFill="1" applyBorder="1" applyAlignment="1" applyProtection="1">
      <alignment horizontal="center" vertical="center"/>
    </xf>
    <xf numFmtId="176" fontId="22" fillId="0" borderId="18" xfId="0" applyNumberFormat="1" applyFont="1" applyFill="1" applyBorder="1" applyAlignment="1" applyProtection="1">
      <alignment horizontal="left" vertical="center"/>
    </xf>
    <xf numFmtId="176" fontId="22" fillId="0" borderId="19" xfId="0" applyNumberFormat="1" applyFont="1" applyFill="1" applyBorder="1" applyAlignment="1" applyProtection="1">
      <alignment horizontal="left" vertical="center"/>
    </xf>
    <xf numFmtId="0" fontId="24" fillId="0" borderId="18" xfId="0" applyNumberFormat="1" applyFont="1" applyFill="1" applyBorder="1" applyAlignment="1" applyProtection="1">
      <alignment horizontal="left" vertical="center"/>
    </xf>
    <xf numFmtId="176" fontId="22" fillId="0" borderId="21" xfId="0" applyNumberFormat="1" applyFont="1" applyFill="1" applyBorder="1" applyAlignment="1" applyProtection="1">
      <alignment horizontal="left" vertical="center"/>
    </xf>
    <xf numFmtId="176" fontId="22" fillId="0" borderId="29" xfId="0" applyNumberFormat="1" applyFont="1" applyFill="1" applyBorder="1" applyAlignment="1" applyProtection="1">
      <alignment horizontal="left" vertical="center"/>
    </xf>
    <xf numFmtId="49" fontId="34" fillId="8" borderId="39" xfId="0" applyNumberFormat="1" applyFont="1" applyFill="1" applyBorder="1" applyAlignment="1" applyProtection="1">
      <alignment horizontal="center" vertical="center"/>
    </xf>
    <xf numFmtId="49" fontId="34" fillId="8" borderId="27" xfId="0" applyNumberFormat="1" applyFont="1" applyFill="1" applyBorder="1" applyAlignment="1" applyProtection="1">
      <alignment horizontal="center" vertical="center"/>
    </xf>
    <xf numFmtId="49" fontId="34" fillId="8" borderId="40" xfId="0" applyNumberFormat="1" applyFont="1" applyFill="1" applyBorder="1" applyAlignment="1" applyProtection="1">
      <alignment horizontal="center" vertical="center"/>
    </xf>
    <xf numFmtId="0" fontId="1" fillId="0" borderId="7" xfId="0" applyNumberFormat="1" applyFont="1" applyFill="1" applyBorder="1" applyAlignment="1" applyProtection="1">
      <alignment horizontal="left" vertical="center"/>
    </xf>
    <xf numFmtId="0" fontId="1" fillId="0" borderId="21" xfId="0" applyNumberFormat="1" applyFont="1" applyFill="1" applyBorder="1" applyAlignment="1" applyProtection="1">
      <alignment horizontal="left" vertical="center"/>
    </xf>
    <xf numFmtId="49" fontId="11" fillId="0" borderId="18" xfId="0" applyNumberFormat="1" applyFont="1" applyFill="1" applyBorder="1" applyAlignment="1" applyProtection="1">
      <alignment horizontal="left" vertical="center" wrapText="1"/>
    </xf>
    <xf numFmtId="49" fontId="11" fillId="0" borderId="19" xfId="0" applyNumberFormat="1" applyFont="1" applyFill="1" applyBorder="1" applyAlignment="1" applyProtection="1">
      <alignment horizontal="left" vertical="center" wrapText="1"/>
    </xf>
    <xf numFmtId="49" fontId="11" fillId="0" borderId="17" xfId="0" applyNumberFormat="1" applyFont="1" applyFill="1" applyBorder="1" applyAlignment="1" applyProtection="1">
      <alignment horizontal="left" vertical="center" wrapText="1"/>
    </xf>
    <xf numFmtId="49" fontId="1" fillId="8" borderId="41" xfId="0" applyNumberFormat="1" applyFont="1" applyFill="1" applyBorder="1" applyAlignment="1" applyProtection="1">
      <alignment horizontal="center" vertical="center" wrapText="1"/>
    </xf>
    <xf numFmtId="49" fontId="1" fillId="8" borderId="42" xfId="0" applyNumberFormat="1" applyFont="1" applyFill="1" applyBorder="1" applyAlignment="1" applyProtection="1">
      <alignment horizontal="center" vertical="center" wrapText="1"/>
    </xf>
    <xf numFmtId="49" fontId="1" fillId="8" borderId="43" xfId="0" applyNumberFormat="1" applyFont="1" applyFill="1" applyBorder="1" applyAlignment="1" applyProtection="1">
      <alignment horizontal="center" vertical="center" wrapText="1"/>
    </xf>
    <xf numFmtId="49" fontId="1" fillId="8" borderId="4" xfId="0" applyNumberFormat="1" applyFont="1" applyFill="1" applyBorder="1" applyAlignment="1" applyProtection="1">
      <alignment horizontal="center" vertical="center" wrapText="1"/>
    </xf>
    <xf numFmtId="49" fontId="1" fillId="8" borderId="45" xfId="0" applyNumberFormat="1" applyFont="1" applyFill="1" applyBorder="1" applyAlignment="1" applyProtection="1">
      <alignment horizontal="center" vertical="center" wrapText="1"/>
    </xf>
    <xf numFmtId="49" fontId="1" fillId="8" borderId="42" xfId="0" applyNumberFormat="1" applyFont="1" applyFill="1" applyBorder="1" applyAlignment="1" applyProtection="1">
      <alignment horizontal="center" vertical="center"/>
    </xf>
    <xf numFmtId="49" fontId="12" fillId="4" borderId="46" xfId="0" applyNumberFormat="1" applyFont="1" applyFill="1" applyBorder="1" applyAlignment="1" applyProtection="1">
      <alignment horizontal="center" vertical="center"/>
    </xf>
    <xf numFmtId="176" fontId="1" fillId="0" borderId="19" xfId="0" applyNumberFormat="1" applyFont="1" applyFill="1" applyBorder="1" applyAlignment="1" applyProtection="1">
      <alignment horizontal="left" vertical="center"/>
    </xf>
    <xf numFmtId="0" fontId="1" fillId="8" borderId="48" xfId="0" applyNumberFormat="1" applyFont="1" applyFill="1" applyBorder="1" applyAlignment="1" applyProtection="1">
      <alignment horizontal="center" vertical="center" wrapText="1"/>
    </xf>
    <xf numFmtId="176" fontId="1" fillId="8" borderId="14" xfId="0" applyNumberFormat="1" applyFont="1" applyFill="1" applyBorder="1" applyAlignment="1" applyProtection="1">
      <alignment horizontal="center" vertical="center"/>
    </xf>
    <xf numFmtId="176" fontId="1" fillId="8" borderId="15" xfId="0" applyNumberFormat="1" applyFont="1" applyFill="1" applyBorder="1" applyAlignment="1" applyProtection="1">
      <alignment horizontal="center" vertical="center"/>
    </xf>
    <xf numFmtId="176" fontId="1" fillId="8" borderId="16" xfId="0" applyNumberFormat="1" applyFont="1" applyFill="1" applyBorder="1" applyAlignment="1" applyProtection="1">
      <alignment horizontal="center" vertical="center"/>
    </xf>
    <xf numFmtId="49" fontId="9" fillId="3" borderId="41" xfId="0" applyNumberFormat="1" applyFont="1" applyFill="1" applyBorder="1" applyAlignment="1" applyProtection="1">
      <alignment horizontal="center" vertical="center" wrapText="1"/>
    </xf>
    <xf numFmtId="49" fontId="9" fillId="3" borderId="42" xfId="0" applyNumberFormat="1" applyFont="1" applyFill="1" applyBorder="1" applyAlignment="1" applyProtection="1">
      <alignment horizontal="center" vertical="center" wrapText="1"/>
    </xf>
    <xf numFmtId="49" fontId="9" fillId="3" borderId="43" xfId="0" applyNumberFormat="1" applyFont="1" applyFill="1" applyBorder="1" applyAlignment="1" applyProtection="1">
      <alignment horizontal="center" vertical="center" wrapText="1"/>
    </xf>
    <xf numFmtId="0" fontId="9" fillId="3" borderId="44" xfId="0" applyNumberFormat="1" applyFont="1" applyFill="1" applyBorder="1" applyAlignment="1" applyProtection="1">
      <alignment horizontal="center" vertical="center" wrapText="1"/>
    </xf>
    <xf numFmtId="0" fontId="9" fillId="3" borderId="45" xfId="0" applyNumberFormat="1" applyFont="1" applyFill="1" applyBorder="1" applyAlignment="1" applyProtection="1">
      <alignment horizontal="center" vertical="center"/>
    </xf>
    <xf numFmtId="0" fontId="9" fillId="3" borderId="4" xfId="0" applyNumberFormat="1" applyFont="1" applyFill="1" applyBorder="1" applyAlignment="1" applyProtection="1">
      <alignment horizontal="center" vertical="center"/>
    </xf>
    <xf numFmtId="0" fontId="9" fillId="3" borderId="45" xfId="0" applyNumberFormat="1" applyFont="1" applyFill="1" applyBorder="1" applyAlignment="1" applyProtection="1">
      <alignment horizontal="center" vertical="center" wrapText="1"/>
    </xf>
    <xf numFmtId="49" fontId="9" fillId="3" borderId="44" xfId="0" applyNumberFormat="1" applyFont="1" applyFill="1" applyBorder="1" applyAlignment="1" applyProtection="1">
      <alignment horizontal="center" vertical="center" wrapText="1"/>
    </xf>
    <xf numFmtId="49" fontId="9" fillId="3" borderId="45" xfId="0" applyNumberFormat="1" applyFont="1" applyFill="1" applyBorder="1" applyAlignment="1" applyProtection="1">
      <alignment horizontal="center" vertical="center"/>
    </xf>
    <xf numFmtId="49" fontId="9" fillId="3" borderId="4" xfId="0" applyNumberFormat="1" applyFont="1" applyFill="1" applyBorder="1" applyAlignment="1" applyProtection="1">
      <alignment horizontal="center" vertical="center" wrapText="1"/>
    </xf>
    <xf numFmtId="49" fontId="14" fillId="4" borderId="46" xfId="0" applyNumberFormat="1" applyFont="1" applyFill="1" applyBorder="1" applyAlignment="1" applyProtection="1">
      <alignment horizontal="center" vertical="center"/>
    </xf>
    <xf numFmtId="49" fontId="2" fillId="0" borderId="18" xfId="0" applyNumberFormat="1" applyFont="1" applyFill="1" applyBorder="1" applyAlignment="1" applyProtection="1">
      <alignment horizontal="left" vertical="center"/>
    </xf>
    <xf numFmtId="49" fontId="2" fillId="0" borderId="23" xfId="0" applyNumberFormat="1" applyFont="1" applyFill="1" applyBorder="1" applyAlignment="1" applyProtection="1">
      <alignment horizontal="center" vertical="center"/>
    </xf>
    <xf numFmtId="0" fontId="2" fillId="0" borderId="18" xfId="0" applyNumberFormat="1" applyFont="1" applyFill="1" applyBorder="1" applyAlignment="1" applyProtection="1">
      <alignment horizontal="left" vertical="center"/>
    </xf>
    <xf numFmtId="0" fontId="2" fillId="0" borderId="19" xfId="0" applyNumberFormat="1" applyFont="1" applyFill="1" applyBorder="1" applyAlignment="1" applyProtection="1">
      <alignment horizontal="left" vertical="center"/>
    </xf>
    <xf numFmtId="0" fontId="2" fillId="0" borderId="20" xfId="0" applyNumberFormat="1" applyFont="1" applyFill="1" applyBorder="1" applyAlignment="1" applyProtection="1">
      <alignment horizontal="left" vertical="center"/>
    </xf>
    <xf numFmtId="0" fontId="35" fillId="0" borderId="18" xfId="0" applyNumberFormat="1" applyFont="1" applyFill="1" applyBorder="1" applyAlignment="1" applyProtection="1">
      <alignment horizontal="left" vertical="center"/>
    </xf>
    <xf numFmtId="0" fontId="35" fillId="0" borderId="19" xfId="0" applyNumberFormat="1" applyFont="1" applyFill="1" applyBorder="1" applyAlignment="1" applyProtection="1">
      <alignment horizontal="left" vertical="center"/>
    </xf>
    <xf numFmtId="0" fontId="35" fillId="0" borderId="20" xfId="0" applyNumberFormat="1" applyFont="1" applyFill="1" applyBorder="1" applyAlignment="1" applyProtection="1">
      <alignment horizontal="left" vertical="center"/>
    </xf>
    <xf numFmtId="49" fontId="7" fillId="3" borderId="41" xfId="0" applyNumberFormat="1" applyFont="1" applyFill="1" applyBorder="1" applyAlignment="1" applyProtection="1">
      <alignment horizontal="center" vertical="center" wrapText="1"/>
    </xf>
    <xf numFmtId="49" fontId="7" fillId="3" borderId="42" xfId="0" applyNumberFormat="1" applyFont="1" applyFill="1" applyBorder="1" applyAlignment="1" applyProtection="1">
      <alignment horizontal="center" vertical="center" wrapText="1"/>
    </xf>
    <xf numFmtId="49" fontId="7" fillId="3" borderId="43" xfId="0" applyNumberFormat="1" applyFont="1" applyFill="1" applyBorder="1" applyAlignment="1" applyProtection="1">
      <alignment horizontal="center" vertical="center" wrapText="1"/>
    </xf>
    <xf numFmtId="0" fontId="7" fillId="3" borderId="44" xfId="0" applyNumberFormat="1" applyFont="1" applyFill="1" applyBorder="1" applyAlignment="1" applyProtection="1">
      <alignment horizontal="center" vertical="center" wrapText="1"/>
    </xf>
    <xf numFmtId="0" fontId="7" fillId="3" borderId="45" xfId="0" applyNumberFormat="1" applyFont="1" applyFill="1" applyBorder="1" applyAlignment="1" applyProtection="1">
      <alignment horizontal="center" vertical="center"/>
    </xf>
    <xf numFmtId="0" fontId="7" fillId="3" borderId="4" xfId="0" applyNumberFormat="1" applyFont="1" applyFill="1" applyBorder="1" applyAlignment="1" applyProtection="1">
      <alignment horizontal="center" vertical="center"/>
    </xf>
    <xf numFmtId="0" fontId="7" fillId="3" borderId="45" xfId="0" applyNumberFormat="1" applyFont="1" applyFill="1" applyBorder="1" applyAlignment="1" applyProtection="1">
      <alignment horizontal="center" vertical="center" wrapText="1"/>
    </xf>
    <xf numFmtId="49" fontId="7" fillId="3" borderId="44" xfId="0" applyNumberFormat="1" applyFont="1" applyFill="1" applyBorder="1" applyAlignment="1" applyProtection="1">
      <alignment horizontal="center" vertical="center" wrapText="1"/>
    </xf>
    <xf numFmtId="49" fontId="7" fillId="3" borderId="45" xfId="0" applyNumberFormat="1" applyFont="1" applyFill="1" applyBorder="1" applyAlignment="1" applyProtection="1">
      <alignment horizontal="center" vertical="center"/>
    </xf>
    <xf numFmtId="49" fontId="7" fillId="3" borderId="45" xfId="0" applyNumberFormat="1" applyFont="1" applyFill="1" applyBorder="1" applyAlignment="1" applyProtection="1">
      <alignment horizontal="center" vertical="center" wrapText="1"/>
    </xf>
    <xf numFmtId="49" fontId="47" fillId="8" borderId="44" xfId="0" applyNumberFormat="1" applyFont="1" applyFill="1" applyBorder="1" applyAlignment="1" applyProtection="1">
      <alignment horizontal="center" vertical="center" wrapText="1"/>
    </xf>
    <xf numFmtId="49" fontId="47" fillId="8" borderId="45" xfId="0" applyNumberFormat="1" applyFont="1" applyFill="1" applyBorder="1" applyAlignment="1" applyProtection="1">
      <alignment horizontal="center" vertical="center"/>
    </xf>
    <xf numFmtId="49" fontId="47" fillId="8" borderId="4" xfId="0" applyNumberFormat="1" applyFont="1" applyFill="1" applyBorder="1" applyAlignment="1" applyProtection="1">
      <alignment horizontal="center" vertical="center"/>
    </xf>
    <xf numFmtId="176" fontId="1" fillId="8" borderId="9" xfId="0" applyNumberFormat="1" applyFont="1" applyFill="1" applyBorder="1" applyAlignment="1" applyProtection="1">
      <alignment horizontal="center" vertical="center"/>
    </xf>
    <xf numFmtId="176" fontId="1" fillId="8" borderId="29" xfId="0" applyNumberFormat="1" applyFont="1" applyFill="1" applyBorder="1" applyAlignment="1" applyProtection="1">
      <alignment horizontal="center" vertical="center"/>
    </xf>
    <xf numFmtId="49" fontId="35" fillId="8" borderId="44" xfId="0" applyNumberFormat="1" applyFont="1" applyFill="1" applyBorder="1" applyAlignment="1" applyProtection="1">
      <alignment horizontal="center" vertical="center" wrapText="1"/>
    </xf>
    <xf numFmtId="49" fontId="35" fillId="8" borderId="45" xfId="0" applyNumberFormat="1" applyFont="1" applyFill="1" applyBorder="1" applyAlignment="1" applyProtection="1">
      <alignment horizontal="center" vertical="center"/>
    </xf>
    <xf numFmtId="49" fontId="35" fillId="8" borderId="47" xfId="0" applyNumberFormat="1" applyFont="1" applyFill="1" applyBorder="1" applyAlignment="1" applyProtection="1">
      <alignment horizontal="center" vertical="center" wrapText="1"/>
    </xf>
    <xf numFmtId="0" fontId="20" fillId="8" borderId="44" xfId="3" applyNumberFormat="1" applyFont="1" applyFill="1" applyBorder="1" applyAlignment="1" applyProtection="1">
      <alignment horizontal="center" vertical="center" wrapText="1"/>
    </xf>
    <xf numFmtId="0" fontId="20" fillId="8" borderId="45" xfId="3" applyNumberFormat="1" applyFont="1" applyFill="1" applyBorder="1" applyAlignment="1" applyProtection="1">
      <alignment horizontal="center" vertical="center"/>
    </xf>
    <xf numFmtId="0" fontId="20" fillId="8" borderId="4" xfId="3" applyNumberFormat="1" applyFont="1" applyFill="1" applyBorder="1" applyAlignment="1" applyProtection="1">
      <alignment horizontal="center" vertical="center"/>
    </xf>
    <xf numFmtId="0" fontId="20" fillId="8" borderId="45" xfId="3" applyNumberFormat="1" applyFont="1" applyFill="1" applyBorder="1" applyAlignment="1" applyProtection="1">
      <alignment horizontal="center" vertical="center" wrapText="1"/>
    </xf>
    <xf numFmtId="49" fontId="31" fillId="8" borderId="46" xfId="3" applyNumberFormat="1" applyFont="1" applyFill="1" applyBorder="1" applyAlignment="1" applyProtection="1">
      <alignment horizontal="center" vertical="center"/>
    </xf>
    <xf numFmtId="0" fontId="29" fillId="8" borderId="45" xfId="3" applyNumberFormat="1" applyFont="1" applyFill="1" applyBorder="1" applyAlignment="1" applyProtection="1">
      <alignment horizontal="center" vertical="center"/>
    </xf>
    <xf numFmtId="0" fontId="29" fillId="8" borderId="4" xfId="3" applyNumberFormat="1" applyFont="1" applyFill="1" applyBorder="1" applyAlignment="1" applyProtection="1">
      <alignment horizontal="center" vertical="center"/>
    </xf>
    <xf numFmtId="176" fontId="2" fillId="0" borderId="29" xfId="3" applyNumberFormat="1" applyFont="1" applyFill="1" applyBorder="1" applyAlignment="1" applyProtection="1">
      <alignment horizontal="left" vertical="center"/>
    </xf>
    <xf numFmtId="176" fontId="2" fillId="0" borderId="21" xfId="3" applyNumberFormat="1" applyFont="1" applyFill="1" applyBorder="1" applyAlignment="1" applyProtection="1">
      <alignment horizontal="left" vertical="center"/>
    </xf>
    <xf numFmtId="176" fontId="2" fillId="0" borderId="18" xfId="3" applyNumberFormat="1" applyFont="1" applyFill="1" applyBorder="1" applyAlignment="1" applyProtection="1">
      <alignment horizontal="left" vertical="center"/>
    </xf>
    <xf numFmtId="176" fontId="2" fillId="0" borderId="19" xfId="3" applyNumberFormat="1" applyFont="1" applyFill="1" applyBorder="1" applyAlignment="1" applyProtection="1">
      <alignment horizontal="left" vertical="center"/>
    </xf>
    <xf numFmtId="176" fontId="2" fillId="0" borderId="17" xfId="3" applyNumberFormat="1" applyFont="1" applyFill="1" applyBorder="1" applyAlignment="1" applyProtection="1">
      <alignment horizontal="left" vertical="center"/>
    </xf>
    <xf numFmtId="0" fontId="2" fillId="0" borderId="18" xfId="3" applyNumberFormat="1" applyFont="1" applyFill="1" applyBorder="1" applyAlignment="1" applyProtection="1">
      <alignment horizontal="center" vertical="center"/>
    </xf>
    <xf numFmtId="0" fontId="2" fillId="0" borderId="17" xfId="3" applyNumberFormat="1" applyFont="1" applyFill="1" applyBorder="1" applyAlignment="1" applyProtection="1">
      <alignment horizontal="center" vertical="center"/>
    </xf>
    <xf numFmtId="0" fontId="13" fillId="0" borderId="7" xfId="3" applyNumberFormat="1" applyFont="1" applyFill="1" applyBorder="1" applyAlignment="1" applyProtection="1">
      <alignment horizontal="left" vertical="center"/>
    </xf>
    <xf numFmtId="0" fontId="13" fillId="0" borderId="21" xfId="3" applyNumberFormat="1" applyFont="1" applyFill="1" applyBorder="1" applyAlignment="1" applyProtection="1">
      <alignment horizontal="left" vertical="center"/>
    </xf>
    <xf numFmtId="0" fontId="13" fillId="0" borderId="18" xfId="3" applyNumberFormat="1" applyFont="1" applyFill="1" applyBorder="1" applyAlignment="1" applyProtection="1">
      <alignment horizontal="left" vertical="center"/>
    </xf>
    <xf numFmtId="0" fontId="13" fillId="0" borderId="19" xfId="3" applyNumberFormat="1" applyFont="1" applyFill="1" applyBorder="1" applyAlignment="1" applyProtection="1">
      <alignment horizontal="left" vertical="center"/>
    </xf>
    <xf numFmtId="0" fontId="13" fillId="0" borderId="20" xfId="3" applyNumberFormat="1" applyFont="1" applyFill="1" applyBorder="1" applyAlignment="1" applyProtection="1">
      <alignment horizontal="left" vertical="center"/>
    </xf>
    <xf numFmtId="49" fontId="1" fillId="0" borderId="23" xfId="3" applyNumberFormat="1" applyFont="1" applyFill="1" applyBorder="1" applyAlignment="1" applyProtection="1">
      <alignment horizontal="center" vertical="center"/>
    </xf>
    <xf numFmtId="176" fontId="15" fillId="0" borderId="5" xfId="3" applyNumberFormat="1" applyFont="1" applyFill="1" applyBorder="1" applyAlignment="1" applyProtection="1">
      <alignment horizontal="center" vertical="center"/>
    </xf>
    <xf numFmtId="176" fontId="15" fillId="0" borderId="49" xfId="3" applyNumberFormat="1" applyFont="1" applyFill="1" applyBorder="1" applyAlignment="1" applyProtection="1">
      <alignment horizontal="center" vertical="center"/>
    </xf>
    <xf numFmtId="49" fontId="30" fillId="8" borderId="47" xfId="3" applyNumberFormat="1" applyFont="1" applyFill="1" applyBorder="1" applyAlignment="1" applyProtection="1">
      <alignment horizontal="center" vertical="center" wrapText="1"/>
    </xf>
    <xf numFmtId="49" fontId="20" fillId="8" borderId="41" xfId="3" applyNumberFormat="1" applyFont="1" applyFill="1" applyBorder="1" applyAlignment="1" applyProtection="1">
      <alignment horizontal="center" vertical="center" wrapText="1"/>
    </xf>
    <xf numFmtId="49" fontId="20" fillId="8" borderId="42" xfId="3" applyNumberFormat="1" applyFont="1" applyFill="1" applyBorder="1" applyAlignment="1" applyProtection="1">
      <alignment horizontal="center" vertical="center" wrapText="1"/>
    </xf>
    <xf numFmtId="49" fontId="20" fillId="8" borderId="43" xfId="3" applyNumberFormat="1" applyFont="1" applyFill="1" applyBorder="1" applyAlignment="1" applyProtection="1">
      <alignment horizontal="center" vertical="center" wrapText="1"/>
    </xf>
    <xf numFmtId="0" fontId="42" fillId="7" borderId="21" xfId="0" applyNumberFormat="1" applyFont="1" applyFill="1" applyBorder="1" applyAlignment="1" applyProtection="1">
      <alignment horizontal="center" vertical="center"/>
    </xf>
    <xf numFmtId="0" fontId="1" fillId="8" borderId="3" xfId="0" applyNumberFormat="1" applyFont="1" applyFill="1" applyBorder="1" applyAlignment="1" applyProtection="1">
      <alignment horizontal="center" vertical="center" wrapText="1"/>
    </xf>
    <xf numFmtId="0" fontId="1" fillId="8" borderId="2" xfId="0" applyNumberFormat="1" applyFont="1" applyFill="1" applyBorder="1" applyAlignment="1" applyProtection="1">
      <alignment horizontal="center" vertical="center" wrapText="1"/>
    </xf>
    <xf numFmtId="0" fontId="1" fillId="8" borderId="1" xfId="0" applyNumberFormat="1" applyFont="1" applyFill="1" applyBorder="1" applyAlignment="1" applyProtection="1">
      <alignment horizontal="center" vertical="center"/>
    </xf>
    <xf numFmtId="0" fontId="53" fillId="12" borderId="75" xfId="0" applyNumberFormat="1" applyFont="1" applyFill="1" applyBorder="1" applyAlignment="1" applyProtection="1">
      <alignment horizontal="center" vertical="center" wrapText="1"/>
    </xf>
    <xf numFmtId="0" fontId="53" fillId="12" borderId="76" xfId="0" applyNumberFormat="1" applyFont="1" applyFill="1" applyBorder="1" applyAlignment="1" applyProtection="1">
      <alignment horizontal="center" vertical="center" wrapText="1"/>
    </xf>
    <xf numFmtId="0" fontId="53" fillId="12" borderId="38" xfId="0" applyNumberFormat="1" applyFont="1" applyFill="1" applyBorder="1" applyAlignment="1" applyProtection="1">
      <alignment horizontal="center" vertical="center" wrapText="1"/>
    </xf>
    <xf numFmtId="176" fontId="1" fillId="10" borderId="10" xfId="0" applyNumberFormat="1" applyFont="1" applyFill="1" applyBorder="1" applyAlignment="1" applyProtection="1">
      <alignment horizontal="center" vertical="center"/>
    </xf>
    <xf numFmtId="176" fontId="1" fillId="10" borderId="11" xfId="0" applyNumberFormat="1" applyFont="1" applyFill="1" applyBorder="1" applyAlignment="1" applyProtection="1">
      <alignment horizontal="center" vertical="center"/>
    </xf>
    <xf numFmtId="176" fontId="1" fillId="10" borderId="12" xfId="0" applyNumberFormat="1" applyFont="1" applyFill="1" applyBorder="1" applyAlignment="1" applyProtection="1">
      <alignment horizontal="center" vertical="center"/>
    </xf>
    <xf numFmtId="49" fontId="20" fillId="10" borderId="41" xfId="0" applyNumberFormat="1" applyFont="1" applyFill="1" applyBorder="1" applyAlignment="1" applyProtection="1">
      <alignment horizontal="center" vertical="center" wrapText="1"/>
    </xf>
    <xf numFmtId="49" fontId="20" fillId="10" borderId="42" xfId="0" applyNumberFormat="1" applyFont="1" applyFill="1" applyBorder="1" applyAlignment="1" applyProtection="1">
      <alignment horizontal="center" vertical="center" wrapText="1"/>
    </xf>
    <xf numFmtId="49" fontId="20" fillId="10" borderId="43" xfId="0" applyNumberFormat="1" applyFont="1" applyFill="1" applyBorder="1" applyAlignment="1" applyProtection="1">
      <alignment horizontal="center" vertical="center" wrapText="1"/>
    </xf>
    <xf numFmtId="0" fontId="20" fillId="10" borderId="44" xfId="0" applyNumberFormat="1" applyFont="1" applyFill="1" applyBorder="1" applyAlignment="1" applyProtection="1">
      <alignment horizontal="center" vertical="center" wrapText="1"/>
    </xf>
    <xf numFmtId="0" fontId="20" fillId="10" borderId="45" xfId="0" applyNumberFormat="1" applyFont="1" applyFill="1" applyBorder="1" applyAlignment="1" applyProtection="1">
      <alignment horizontal="center" vertical="center"/>
    </xf>
    <xf numFmtId="0" fontId="20" fillId="10" borderId="4" xfId="0" applyNumberFormat="1" applyFont="1" applyFill="1" applyBorder="1" applyAlignment="1" applyProtection="1">
      <alignment horizontal="center" vertical="center"/>
    </xf>
    <xf numFmtId="0" fontId="20" fillId="10" borderId="45" xfId="0" applyNumberFormat="1" applyFont="1" applyFill="1" applyBorder="1" applyAlignment="1" applyProtection="1">
      <alignment horizontal="center" vertical="center" wrapText="1"/>
    </xf>
    <xf numFmtId="49" fontId="20" fillId="10" borderId="47" xfId="0" applyNumberFormat="1" applyFont="1" applyFill="1" applyBorder="1" applyAlignment="1" applyProtection="1">
      <alignment horizontal="center" vertical="center" wrapText="1"/>
    </xf>
    <xf numFmtId="0" fontId="1" fillId="10" borderId="41" xfId="0" applyNumberFormat="1" applyFont="1" applyFill="1" applyBorder="1" applyAlignment="1" applyProtection="1">
      <alignment horizontal="center" vertical="center" wrapText="1"/>
    </xf>
    <xf numFmtId="0" fontId="1" fillId="10" borderId="42" xfId="0" applyNumberFormat="1" applyFont="1" applyFill="1" applyBorder="1" applyAlignment="1" applyProtection="1">
      <alignment horizontal="center" vertical="center"/>
    </xf>
    <xf numFmtId="0" fontId="1" fillId="10" borderId="54" xfId="0" applyNumberFormat="1" applyFont="1" applyFill="1" applyBorder="1" applyAlignment="1" applyProtection="1">
      <alignment horizontal="center" vertical="center"/>
    </xf>
    <xf numFmtId="0" fontId="1" fillId="10" borderId="43" xfId="0" applyNumberFormat="1" applyFont="1" applyFill="1" applyBorder="1" applyAlignment="1" applyProtection="1">
      <alignment horizontal="center" vertical="center"/>
    </xf>
    <xf numFmtId="0" fontId="29" fillId="10" borderId="45" xfId="0" applyNumberFormat="1" applyFont="1" applyFill="1" applyBorder="1" applyAlignment="1" applyProtection="1">
      <alignment horizontal="center" vertical="center"/>
    </xf>
    <xf numFmtId="0" fontId="29" fillId="10" borderId="4" xfId="0" applyNumberFormat="1" applyFont="1" applyFill="1" applyBorder="1" applyAlignment="1" applyProtection="1">
      <alignment horizontal="center" vertical="center"/>
    </xf>
    <xf numFmtId="49" fontId="30" fillId="8" borderId="47" xfId="0" applyNumberFormat="1" applyFont="1" applyFill="1" applyBorder="1" applyAlignment="1" applyProtection="1">
      <alignment horizontal="center" vertical="center" wrapText="1"/>
    </xf>
    <xf numFmtId="49" fontId="31" fillId="8" borderId="46" xfId="0" applyNumberFormat="1" applyFont="1" applyFill="1" applyBorder="1" applyAlignment="1" applyProtection="1">
      <alignment horizontal="center" vertical="center"/>
    </xf>
    <xf numFmtId="176" fontId="15" fillId="0" borderId="5" xfId="0" applyNumberFormat="1" applyFont="1" applyFill="1" applyBorder="1" applyAlignment="1" applyProtection="1">
      <alignment horizontal="center" vertical="center"/>
    </xf>
    <xf numFmtId="176" fontId="15" fillId="0" borderId="49" xfId="0" applyNumberFormat="1" applyFont="1" applyFill="1" applyBorder="1" applyAlignment="1" applyProtection="1">
      <alignment horizontal="center" vertical="center"/>
    </xf>
    <xf numFmtId="49" fontId="1" fillId="0" borderId="73" xfId="0" applyNumberFormat="1" applyFont="1" applyFill="1" applyBorder="1" applyAlignment="1" applyProtection="1">
      <alignment horizontal="left" vertical="center"/>
    </xf>
    <xf numFmtId="49" fontId="1" fillId="0" borderId="27" xfId="0" applyNumberFormat="1" applyFont="1" applyFill="1" applyBorder="1" applyAlignment="1" applyProtection="1">
      <alignment horizontal="left" vertical="center"/>
    </xf>
    <xf numFmtId="49" fontId="1" fillId="0" borderId="40" xfId="0" applyNumberFormat="1" applyFont="1" applyFill="1" applyBorder="1" applyAlignment="1" applyProtection="1">
      <alignment horizontal="left" vertical="center"/>
    </xf>
    <xf numFmtId="0" fontId="1" fillId="0" borderId="0" xfId="0" applyNumberFormat="1" applyFont="1" applyFill="1" applyBorder="1" applyAlignment="1" applyProtection="1">
      <alignment horizontal="left" vertical="center" wrapText="1"/>
    </xf>
    <xf numFmtId="49" fontId="45" fillId="0" borderId="74" xfId="0" applyNumberFormat="1" applyFont="1" applyFill="1" applyBorder="1" applyAlignment="1" applyProtection="1">
      <alignment horizontal="left" vertical="center" wrapText="1"/>
    </xf>
    <xf numFmtId="49" fontId="45" fillId="0" borderId="35" xfId="0" applyNumberFormat="1" applyFont="1" applyFill="1" applyBorder="1" applyAlignment="1" applyProtection="1">
      <alignment horizontal="left" vertical="center"/>
    </xf>
    <xf numFmtId="49" fontId="45" fillId="0" borderId="36" xfId="0" applyNumberFormat="1" applyFont="1" applyFill="1" applyBorder="1" applyAlignment="1" applyProtection="1">
      <alignment horizontal="left" vertical="center"/>
    </xf>
    <xf numFmtId="49" fontId="45" fillId="0" borderId="52" xfId="0" applyNumberFormat="1" applyFont="1" applyFill="1" applyBorder="1" applyAlignment="1" applyProtection="1">
      <alignment horizontal="left" vertical="center"/>
    </xf>
    <xf numFmtId="49" fontId="45" fillId="0" borderId="0" xfId="0" applyNumberFormat="1" applyFont="1" applyFill="1" applyBorder="1" applyAlignment="1" applyProtection="1">
      <alignment horizontal="left" vertical="center"/>
    </xf>
    <xf numFmtId="49" fontId="45" fillId="0" borderId="28" xfId="0" applyNumberFormat="1" applyFont="1" applyFill="1" applyBorder="1" applyAlignment="1" applyProtection="1">
      <alignment horizontal="left" vertical="center"/>
    </xf>
    <xf numFmtId="49" fontId="45" fillId="0" borderId="53" xfId="0" applyNumberFormat="1" applyFont="1" applyFill="1" applyBorder="1" applyAlignment="1" applyProtection="1">
      <alignment horizontal="left" vertical="center"/>
    </xf>
    <xf numFmtId="49" fontId="45" fillId="0" borderId="50" xfId="0" applyNumberFormat="1" applyFont="1" applyFill="1" applyBorder="1" applyAlignment="1" applyProtection="1">
      <alignment horizontal="left" vertical="center"/>
    </xf>
    <xf numFmtId="49" fontId="45" fillId="0" borderId="51" xfId="0" applyNumberFormat="1" applyFont="1" applyFill="1" applyBorder="1" applyAlignment="1" applyProtection="1">
      <alignment horizontal="left" vertical="center"/>
    </xf>
    <xf numFmtId="49" fontId="20" fillId="0" borderId="19" xfId="0" applyNumberFormat="1" applyFont="1" applyFill="1" applyBorder="1" applyAlignment="1" applyProtection="1">
      <alignment horizontal="left" vertical="center" wrapText="1"/>
    </xf>
    <xf numFmtId="49" fontId="20" fillId="0" borderId="17" xfId="0" applyNumberFormat="1" applyFont="1" applyFill="1" applyBorder="1" applyAlignment="1" applyProtection="1">
      <alignment horizontal="left" vertical="center" wrapText="1"/>
    </xf>
    <xf numFmtId="0" fontId="1" fillId="10" borderId="48" xfId="0" applyNumberFormat="1" applyFont="1" applyFill="1" applyBorder="1" applyAlignment="1" applyProtection="1">
      <alignment horizontal="center" vertical="center" wrapText="1"/>
    </xf>
    <xf numFmtId="176" fontId="1" fillId="10" borderId="14" xfId="0" applyNumberFormat="1" applyFont="1" applyFill="1" applyBorder="1" applyAlignment="1" applyProtection="1">
      <alignment horizontal="center" vertical="center"/>
    </xf>
    <xf numFmtId="176" fontId="1" fillId="10" borderId="15" xfId="0" applyNumberFormat="1" applyFont="1" applyFill="1" applyBorder="1" applyAlignment="1" applyProtection="1">
      <alignment horizontal="center" vertical="center"/>
    </xf>
    <xf numFmtId="176" fontId="1" fillId="10" borderId="16" xfId="0" applyNumberFormat="1" applyFont="1" applyFill="1" applyBorder="1" applyAlignment="1" applyProtection="1">
      <alignment horizontal="center" vertical="center"/>
    </xf>
    <xf numFmtId="49" fontId="7" fillId="3" borderId="47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3" borderId="44" xfId="0" applyNumberFormat="1" applyFont="1" applyFill="1" applyBorder="1" applyAlignment="1" applyProtection="1">
      <alignment horizontal="center" vertical="center" wrapText="1"/>
    </xf>
    <xf numFmtId="0" fontId="1" fillId="3" borderId="45" xfId="0" applyNumberFormat="1" applyFont="1" applyFill="1" applyBorder="1" applyAlignment="1" applyProtection="1">
      <alignment horizontal="center" vertical="center"/>
    </xf>
    <xf numFmtId="0" fontId="1" fillId="3" borderId="4" xfId="0" applyNumberFormat="1" applyFont="1" applyFill="1" applyBorder="1" applyAlignment="1" applyProtection="1">
      <alignment horizontal="center" vertical="center"/>
    </xf>
    <xf numFmtId="49" fontId="1" fillId="3" borderId="44" xfId="0" applyNumberFormat="1" applyFont="1" applyFill="1" applyBorder="1" applyAlignment="1" applyProtection="1">
      <alignment horizontal="center" vertical="center" wrapText="1"/>
    </xf>
    <xf numFmtId="49" fontId="1" fillId="3" borderId="45" xfId="0" applyNumberFormat="1" applyFont="1" applyFill="1" applyBorder="1" applyAlignment="1" applyProtection="1">
      <alignment horizontal="center" vertical="center"/>
    </xf>
    <xf numFmtId="49" fontId="1" fillId="3" borderId="47" xfId="0" applyNumberFormat="1" applyFont="1" applyFill="1" applyBorder="1" applyAlignment="1" applyProtection="1">
      <alignment horizontal="center" vertical="center" wrapText="1"/>
    </xf>
    <xf numFmtId="49" fontId="12" fillId="4" borderId="39" xfId="0" applyNumberFormat="1" applyFont="1" applyFill="1" applyBorder="1" applyAlignment="1" applyProtection="1">
      <alignment horizontal="center" vertical="center"/>
    </xf>
    <xf numFmtId="49" fontId="12" fillId="4" borderId="27" xfId="0" applyNumberFormat="1" applyFont="1" applyFill="1" applyBorder="1" applyAlignment="1" applyProtection="1">
      <alignment horizontal="center" vertical="center"/>
    </xf>
    <xf numFmtId="49" fontId="12" fillId="4" borderId="40" xfId="0" applyNumberFormat="1" applyFont="1" applyFill="1" applyBorder="1" applyAlignment="1" applyProtection="1">
      <alignment horizontal="center" vertical="center"/>
    </xf>
    <xf numFmtId="0" fontId="1" fillId="3" borderId="45" xfId="0" applyNumberFormat="1" applyFont="1" applyFill="1" applyBorder="1" applyAlignment="1" applyProtection="1">
      <alignment horizontal="center" vertical="center" wrapText="1"/>
    </xf>
    <xf numFmtId="49" fontId="20" fillId="8" borderId="47" xfId="0" applyNumberFormat="1" applyFont="1" applyFill="1" applyBorder="1" applyAlignment="1" applyProtection="1">
      <alignment horizontal="center" vertical="center" wrapText="1"/>
    </xf>
    <xf numFmtId="49" fontId="1" fillId="8" borderId="10" xfId="0" applyNumberFormat="1" applyFont="1" applyFill="1" applyBorder="1" applyAlignment="1" applyProtection="1">
      <alignment horizontal="center" vertical="center"/>
    </xf>
    <xf numFmtId="49" fontId="1" fillId="8" borderId="11" xfId="0" applyNumberFormat="1" applyFont="1" applyFill="1" applyBorder="1" applyAlignment="1" applyProtection="1">
      <alignment horizontal="center" vertical="center"/>
    </xf>
    <xf numFmtId="49" fontId="1" fillId="8" borderId="12" xfId="0" applyNumberFormat="1" applyFont="1" applyFill="1" applyBorder="1" applyAlignment="1" applyProtection="1">
      <alignment horizontal="center" vertical="center"/>
    </xf>
    <xf numFmtId="177" fontId="1" fillId="0" borderId="37" xfId="0" applyNumberFormat="1" applyFont="1" applyFill="1" applyBorder="1" applyAlignment="1" applyProtection="1">
      <alignment horizontal="center" vertical="center" wrapText="1"/>
    </xf>
    <xf numFmtId="177" fontId="1" fillId="0" borderId="32" xfId="0" applyNumberFormat="1" applyFont="1" applyFill="1" applyBorder="1" applyAlignment="1" applyProtection="1">
      <alignment horizontal="center" vertical="center"/>
    </xf>
    <xf numFmtId="177" fontId="1" fillId="0" borderId="33" xfId="0" applyNumberFormat="1" applyFont="1" applyFill="1" applyBorder="1" applyAlignment="1" applyProtection="1">
      <alignment horizontal="center" vertical="center"/>
    </xf>
    <xf numFmtId="177" fontId="1" fillId="0" borderId="52" xfId="0" applyNumberFormat="1" applyFont="1" applyFill="1" applyBorder="1" applyAlignment="1" applyProtection="1">
      <alignment horizontal="center" vertical="center"/>
    </xf>
    <xf numFmtId="177" fontId="1" fillId="0" borderId="0" xfId="0" applyNumberFormat="1" applyFont="1" applyFill="1" applyBorder="1" applyAlignment="1" applyProtection="1">
      <alignment horizontal="center" vertical="center"/>
    </xf>
    <xf numFmtId="177" fontId="1" fillId="0" borderId="28" xfId="0" applyNumberFormat="1" applyFont="1" applyFill="1" applyBorder="1" applyAlignment="1" applyProtection="1">
      <alignment horizontal="center" vertical="center"/>
    </xf>
    <xf numFmtId="177" fontId="1" fillId="0" borderId="53" xfId="0" applyNumberFormat="1" applyFont="1" applyFill="1" applyBorder="1" applyAlignment="1" applyProtection="1">
      <alignment horizontal="center" vertical="center"/>
    </xf>
    <xf numFmtId="177" fontId="1" fillId="0" borderId="50" xfId="0" applyNumberFormat="1" applyFont="1" applyFill="1" applyBorder="1" applyAlignment="1" applyProtection="1">
      <alignment horizontal="center" vertical="center"/>
    </xf>
    <xf numFmtId="177" fontId="1" fillId="0" borderId="51" xfId="0" applyNumberFormat="1" applyFont="1" applyFill="1" applyBorder="1" applyAlignment="1" applyProtection="1">
      <alignment horizontal="center" vertical="center"/>
    </xf>
    <xf numFmtId="49" fontId="47" fillId="8" borderId="45" xfId="0" applyNumberFormat="1" applyFont="1" applyFill="1" applyBorder="1" applyAlignment="1" applyProtection="1">
      <alignment horizontal="center" vertical="center" wrapText="1"/>
    </xf>
    <xf numFmtId="49" fontId="47" fillId="8" borderId="4" xfId="0" applyNumberFormat="1" applyFont="1" applyFill="1" applyBorder="1" applyAlignment="1" applyProtection="1">
      <alignment horizontal="center" vertical="center" wrapText="1"/>
    </xf>
    <xf numFmtId="9" fontId="48" fillId="0" borderId="69" xfId="2" applyNumberFormat="1" applyFont="1" applyFill="1" applyBorder="1" applyAlignment="1">
      <alignment horizontal="left" vertical="center" wrapText="1"/>
    </xf>
    <xf numFmtId="9" fontId="48" fillId="0" borderId="70" xfId="2" applyNumberFormat="1" applyFont="1" applyFill="1" applyBorder="1" applyAlignment="1">
      <alignment horizontal="left" vertical="center" wrapText="1"/>
    </xf>
    <xf numFmtId="9" fontId="48" fillId="0" borderId="71" xfId="2" applyNumberFormat="1" applyFont="1" applyFill="1" applyBorder="1" applyAlignment="1">
      <alignment horizontal="left" vertical="center" wrapText="1"/>
    </xf>
  </cellXfs>
  <cellStyles count="5">
    <cellStyle name="백분율" xfId="2" builtinId="5"/>
    <cellStyle name="쉼표 [0]" xfId="1" builtinId="6"/>
    <cellStyle name="표준" xfId="0" builtinId="0"/>
    <cellStyle name="표준 2" xfId="3"/>
    <cellStyle name="하이퍼링크" xfId="4" builtinId="8"/>
  </cellStyles>
  <dxfs count="0"/>
  <tableStyles count="0" defaultTableStyle="TableStyleMedium2" defaultPivotStyle="PivotStyleLight16"/>
  <colors>
    <mruColors>
      <color rgb="FF0000CC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PPR!$D$1</c:f>
              <c:strCache>
                <c:ptCount val="1"/>
                <c:pt idx="0">
                  <c:v>현재 인근 평당가 
(34평기준)</c:v>
                </c:pt>
              </c:strCache>
            </c:strRef>
          </c:tx>
          <c:invertIfNegative val="0"/>
          <c:cat>
            <c:strRef>
              <c:f>PPR!$A$2:$A$37</c:f>
              <c:strCache>
                <c:ptCount val="36"/>
                <c:pt idx="0">
                  <c:v>감만1</c:v>
                </c:pt>
                <c:pt idx="1">
                  <c:v>우암2</c:v>
                </c:pt>
                <c:pt idx="2">
                  <c:v>우암1</c:v>
                </c:pt>
                <c:pt idx="3">
                  <c:v>대연3</c:v>
                </c:pt>
                <c:pt idx="4">
                  <c:v>대연4</c:v>
                </c:pt>
                <c:pt idx="5">
                  <c:v>대연8</c:v>
                </c:pt>
                <c:pt idx="6">
                  <c:v>복산1</c:v>
                </c:pt>
                <c:pt idx="7">
                  <c:v>우동3</c:v>
                </c:pt>
                <c:pt idx="8">
                  <c:v>광안2</c:v>
                </c:pt>
                <c:pt idx="9">
                  <c:v>서금사A</c:v>
                </c:pt>
                <c:pt idx="10">
                  <c:v>서금사5</c:v>
                </c:pt>
                <c:pt idx="11">
                  <c:v>온천4</c:v>
                </c:pt>
                <c:pt idx="12">
                  <c:v>양정1</c:v>
                </c:pt>
                <c:pt idx="13">
                  <c:v>양정2</c:v>
                </c:pt>
                <c:pt idx="14">
                  <c:v>양정3</c:v>
                </c:pt>
                <c:pt idx="15">
                  <c:v>거제2</c:v>
                </c:pt>
                <c:pt idx="16">
                  <c:v>촉진3</c:v>
                </c:pt>
                <c:pt idx="17">
                  <c:v>촉진4</c:v>
                </c:pt>
                <c:pt idx="18">
                  <c:v>가야1</c:v>
                </c:pt>
                <c:pt idx="19">
                  <c:v>범천4</c:v>
                </c:pt>
                <c:pt idx="20">
                  <c:v>범천1-1</c:v>
                </c:pt>
                <c:pt idx="21">
                  <c:v>문현1</c:v>
                </c:pt>
                <c:pt idx="22">
                  <c:v>문현3</c:v>
                </c:pt>
                <c:pt idx="23">
                  <c:v>좌범2</c:v>
                </c:pt>
                <c:pt idx="24">
                  <c:v>초량2</c:v>
                </c:pt>
                <c:pt idx="25">
                  <c:v>초량3</c:v>
                </c:pt>
                <c:pt idx="26">
                  <c:v>괴정5</c:v>
                </c:pt>
                <c:pt idx="27">
                  <c:v>괴정6</c:v>
                </c:pt>
                <c:pt idx="28">
                  <c:v>엄궁3</c:v>
                </c:pt>
                <c:pt idx="29">
                  <c:v>부곡2</c:v>
                </c:pt>
                <c:pt idx="30">
                  <c:v>범일2</c:v>
                </c:pt>
                <c:pt idx="31">
                  <c:v>망미2</c:v>
                </c:pt>
                <c:pt idx="32">
                  <c:v>용호2</c:v>
                </c:pt>
                <c:pt idx="33">
                  <c:v>감천2</c:v>
                </c:pt>
                <c:pt idx="34">
                  <c:v>영도5</c:v>
                </c:pt>
                <c:pt idx="35">
                  <c:v>부민2</c:v>
                </c:pt>
              </c:strCache>
            </c:strRef>
          </c:cat>
          <c:val>
            <c:numRef>
              <c:f>PPR!$D$2:$D$37</c:f>
              <c:numCache>
                <c:formatCode>#,##0</c:formatCode>
                <c:ptCount val="36"/>
                <c:pt idx="0">
                  <c:v>21760000</c:v>
                </c:pt>
                <c:pt idx="1">
                  <c:v>21760000</c:v>
                </c:pt>
                <c:pt idx="2">
                  <c:v>21760000</c:v>
                </c:pt>
                <c:pt idx="3">
                  <c:v>26670000</c:v>
                </c:pt>
                <c:pt idx="4">
                  <c:v>21760000</c:v>
                </c:pt>
                <c:pt idx="5">
                  <c:v>21760000</c:v>
                </c:pt>
                <c:pt idx="6">
                  <c:v>27500000</c:v>
                </c:pt>
                <c:pt idx="7">
                  <c:v>39650000</c:v>
                </c:pt>
                <c:pt idx="8">
                  <c:v>30290000</c:v>
                </c:pt>
                <c:pt idx="9">
                  <c:v>34410000</c:v>
                </c:pt>
                <c:pt idx="10">
                  <c:v>23230000</c:v>
                </c:pt>
                <c:pt idx="11">
                  <c:v>34410000</c:v>
                </c:pt>
                <c:pt idx="12">
                  <c:v>23520000</c:v>
                </c:pt>
                <c:pt idx="13">
                  <c:v>23520000</c:v>
                </c:pt>
                <c:pt idx="14">
                  <c:v>23520000</c:v>
                </c:pt>
                <c:pt idx="15">
                  <c:v>32940000</c:v>
                </c:pt>
                <c:pt idx="16">
                  <c:v>27290000</c:v>
                </c:pt>
                <c:pt idx="17">
                  <c:v>27290000</c:v>
                </c:pt>
                <c:pt idx="18">
                  <c:v>24280000</c:v>
                </c:pt>
                <c:pt idx="19">
                  <c:v>26510000</c:v>
                </c:pt>
                <c:pt idx="20">
                  <c:v>22020000</c:v>
                </c:pt>
                <c:pt idx="21">
                  <c:v>22020000</c:v>
                </c:pt>
                <c:pt idx="22">
                  <c:v>22020000</c:v>
                </c:pt>
                <c:pt idx="23">
                  <c:v>21440000</c:v>
                </c:pt>
                <c:pt idx="24">
                  <c:v>21170000</c:v>
                </c:pt>
                <c:pt idx="25">
                  <c:v>21170000</c:v>
                </c:pt>
                <c:pt idx="26">
                  <c:v>20580000</c:v>
                </c:pt>
                <c:pt idx="27">
                  <c:v>20580000</c:v>
                </c:pt>
                <c:pt idx="28">
                  <c:v>10200000</c:v>
                </c:pt>
                <c:pt idx="29">
                  <c:v>34410000</c:v>
                </c:pt>
                <c:pt idx="30">
                  <c:v>22020000</c:v>
                </c:pt>
                <c:pt idx="31">
                  <c:v>23520000</c:v>
                </c:pt>
                <c:pt idx="32">
                  <c:v>14830000</c:v>
                </c:pt>
                <c:pt idx="33" formatCode="General">
                  <c:v>9350000</c:v>
                </c:pt>
                <c:pt idx="34">
                  <c:v>18330000</c:v>
                </c:pt>
                <c:pt idx="35">
                  <c:v>19990000</c:v>
                </c:pt>
              </c:numCache>
            </c:numRef>
          </c:val>
        </c:ser>
        <c:ser>
          <c:idx val="1"/>
          <c:order val="1"/>
          <c:tx>
            <c:strRef>
              <c:f>PPR!$G$1</c:f>
              <c:strCache>
                <c:ptCount val="1"/>
                <c:pt idx="0">
                  <c:v>현재 입주권 총구매평당가
[(평당 조분가x34평) + 현재프리미엄)]/34</c:v>
                </c:pt>
              </c:strCache>
            </c:strRef>
          </c:tx>
          <c:invertIfNegative val="0"/>
          <c:cat>
            <c:strRef>
              <c:f>PPR!$A$2:$A$37</c:f>
              <c:strCache>
                <c:ptCount val="36"/>
                <c:pt idx="0">
                  <c:v>감만1</c:v>
                </c:pt>
                <c:pt idx="1">
                  <c:v>우암2</c:v>
                </c:pt>
                <c:pt idx="2">
                  <c:v>우암1</c:v>
                </c:pt>
                <c:pt idx="3">
                  <c:v>대연3</c:v>
                </c:pt>
                <c:pt idx="4">
                  <c:v>대연4</c:v>
                </c:pt>
                <c:pt idx="5">
                  <c:v>대연8</c:v>
                </c:pt>
                <c:pt idx="6">
                  <c:v>복산1</c:v>
                </c:pt>
                <c:pt idx="7">
                  <c:v>우동3</c:v>
                </c:pt>
                <c:pt idx="8">
                  <c:v>광안2</c:v>
                </c:pt>
                <c:pt idx="9">
                  <c:v>서금사A</c:v>
                </c:pt>
                <c:pt idx="10">
                  <c:v>서금사5</c:v>
                </c:pt>
                <c:pt idx="11">
                  <c:v>온천4</c:v>
                </c:pt>
                <c:pt idx="12">
                  <c:v>양정1</c:v>
                </c:pt>
                <c:pt idx="13">
                  <c:v>양정2</c:v>
                </c:pt>
                <c:pt idx="14">
                  <c:v>양정3</c:v>
                </c:pt>
                <c:pt idx="15">
                  <c:v>거제2</c:v>
                </c:pt>
                <c:pt idx="16">
                  <c:v>촉진3</c:v>
                </c:pt>
                <c:pt idx="17">
                  <c:v>촉진4</c:v>
                </c:pt>
                <c:pt idx="18">
                  <c:v>가야1</c:v>
                </c:pt>
                <c:pt idx="19">
                  <c:v>범천4</c:v>
                </c:pt>
                <c:pt idx="20">
                  <c:v>범천1-1</c:v>
                </c:pt>
                <c:pt idx="21">
                  <c:v>문현1</c:v>
                </c:pt>
                <c:pt idx="22">
                  <c:v>문현3</c:v>
                </c:pt>
                <c:pt idx="23">
                  <c:v>좌범2</c:v>
                </c:pt>
                <c:pt idx="24">
                  <c:v>초량2</c:v>
                </c:pt>
                <c:pt idx="25">
                  <c:v>초량3</c:v>
                </c:pt>
                <c:pt idx="26">
                  <c:v>괴정5</c:v>
                </c:pt>
                <c:pt idx="27">
                  <c:v>괴정6</c:v>
                </c:pt>
                <c:pt idx="28">
                  <c:v>엄궁3</c:v>
                </c:pt>
                <c:pt idx="29">
                  <c:v>부곡2</c:v>
                </c:pt>
                <c:pt idx="30">
                  <c:v>범일2</c:v>
                </c:pt>
                <c:pt idx="31">
                  <c:v>망미2</c:v>
                </c:pt>
                <c:pt idx="32">
                  <c:v>용호2</c:v>
                </c:pt>
                <c:pt idx="33">
                  <c:v>감천2</c:v>
                </c:pt>
                <c:pt idx="34">
                  <c:v>영도5</c:v>
                </c:pt>
                <c:pt idx="35">
                  <c:v>부민2</c:v>
                </c:pt>
              </c:strCache>
            </c:strRef>
          </c:cat>
          <c:val>
            <c:numRef>
              <c:f>PPR!$G$2:$G$37</c:f>
              <c:numCache>
                <c:formatCode>#,##0</c:formatCode>
                <c:ptCount val="36"/>
                <c:pt idx="0">
                  <c:v>14528235.294117646</c:v>
                </c:pt>
                <c:pt idx="1">
                  <c:v>15909705.823529411</c:v>
                </c:pt>
                <c:pt idx="2">
                  <c:v>16315294.117647059</c:v>
                </c:pt>
                <c:pt idx="3">
                  <c:v>29634794.117647059</c:v>
                </c:pt>
                <c:pt idx="4">
                  <c:v>22975404.23885918</c:v>
                </c:pt>
                <c:pt idx="5">
                  <c:v>27584941.176470589</c:v>
                </c:pt>
                <c:pt idx="6">
                  <c:v>30426470.588235293</c:v>
                </c:pt>
                <c:pt idx="7">
                  <c:v>50990294.117647059</c:v>
                </c:pt>
                <c:pt idx="8">
                  <c:v>34588235.294117644</c:v>
                </c:pt>
                <c:pt idx="9">
                  <c:v>46734058.823529415</c:v>
                </c:pt>
                <c:pt idx="10">
                  <c:v>21849235.294117644</c:v>
                </c:pt>
                <c:pt idx="11">
                  <c:v>32277968.882352941</c:v>
                </c:pt>
                <c:pt idx="12">
                  <c:v>27758058.823529411</c:v>
                </c:pt>
                <c:pt idx="13">
                  <c:v>27202823.529411763</c:v>
                </c:pt>
                <c:pt idx="14">
                  <c:v>30064705.882352941</c:v>
                </c:pt>
                <c:pt idx="15">
                  <c:v>39445588.235294119</c:v>
                </c:pt>
                <c:pt idx="16">
                  <c:v>44691235.294117644</c:v>
                </c:pt>
                <c:pt idx="17">
                  <c:v>30867705.882352941</c:v>
                </c:pt>
                <c:pt idx="18">
                  <c:v>26996000</c:v>
                </c:pt>
                <c:pt idx="19">
                  <c:v>27086411.764705881</c:v>
                </c:pt>
                <c:pt idx="20">
                  <c:v>29604558.823529411</c:v>
                </c:pt>
                <c:pt idx="21">
                  <c:v>30708117.647058822</c:v>
                </c:pt>
                <c:pt idx="22">
                  <c:v>23355176.470588237</c:v>
                </c:pt>
                <c:pt idx="23">
                  <c:v>25596235.294117648</c:v>
                </c:pt>
                <c:pt idx="24">
                  <c:v>20407235.294117648</c:v>
                </c:pt>
                <c:pt idx="25">
                  <c:v>23936647.05882353</c:v>
                </c:pt>
                <c:pt idx="26">
                  <c:v>19926764.705882352</c:v>
                </c:pt>
                <c:pt idx="27">
                  <c:v>17641294.117647059</c:v>
                </c:pt>
                <c:pt idx="28">
                  <c:v>11277880.647058824</c:v>
                </c:pt>
                <c:pt idx="29">
                  <c:v>34087000</c:v>
                </c:pt>
                <c:pt idx="30">
                  <c:v>25708117.647058822</c:v>
                </c:pt>
                <c:pt idx="31">
                  <c:v>28228705.882352937</c:v>
                </c:pt>
                <c:pt idx="32">
                  <c:v>17733941.176470589</c:v>
                </c:pt>
                <c:pt idx="33">
                  <c:v>12023529.411764706</c:v>
                </c:pt>
                <c:pt idx="34">
                  <c:v>17831000</c:v>
                </c:pt>
                <c:pt idx="35">
                  <c:v>18993000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1725696"/>
        <c:axId val="217919424"/>
      </c:barChart>
      <c:catAx>
        <c:axId val="181725696"/>
        <c:scaling>
          <c:orientation val="minMax"/>
        </c:scaling>
        <c:delete val="0"/>
        <c:axPos val="b"/>
        <c:majorTickMark val="out"/>
        <c:minorTickMark val="none"/>
        <c:tickLblPos val="nextTo"/>
        <c:crossAx val="217919424"/>
        <c:crosses val="autoZero"/>
        <c:auto val="1"/>
        <c:lblAlgn val="ctr"/>
        <c:lblOffset val="100"/>
        <c:noMultiLvlLbl val="0"/>
      </c:catAx>
      <c:valAx>
        <c:axId val="217919424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81725696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dPt>
            <c:idx val="8"/>
            <c:marker>
              <c:spPr>
                <a:solidFill>
                  <a:srgbClr val="FF0000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dPt>
            <c:idx val="10"/>
            <c:marker>
              <c:spPr>
                <a:solidFill>
                  <a:srgbClr val="FF0000"/>
                </a:solidFill>
              </c:spPr>
            </c:marker>
            <c:bubble3D val="0"/>
          </c:dPt>
          <c:cat>
            <c:strRef>
              <c:f>감만1구역!$B$59:$B$69</c:f>
              <c:strCache>
                <c:ptCount val="11"/>
                <c:pt idx="0">
                  <c:v>19년07월~19년09월</c:v>
                </c:pt>
                <c:pt idx="1">
                  <c:v>19년10월~19년12월</c:v>
                </c:pt>
                <c:pt idx="2">
                  <c:v>20년01월~20년03월</c:v>
                </c:pt>
                <c:pt idx="3">
                  <c:v>20년04월~20년06월</c:v>
                </c:pt>
                <c:pt idx="4">
                  <c:v>20년07월~20년09월</c:v>
                </c:pt>
                <c:pt idx="5">
                  <c:v>20년10월~20년12월</c:v>
                </c:pt>
                <c:pt idx="6">
                  <c:v>21년01월~21년03월</c:v>
                </c:pt>
                <c:pt idx="7">
                  <c:v>21년04월~21년06월</c:v>
                </c:pt>
                <c:pt idx="8">
                  <c:v>21년07월~21년09월</c:v>
                </c:pt>
                <c:pt idx="9">
                  <c:v>21년10월~21년12월</c:v>
                </c:pt>
                <c:pt idx="10">
                  <c:v>2027년(완공시)</c:v>
                </c:pt>
              </c:strCache>
            </c:strRef>
          </c:cat>
          <c:val>
            <c:numRef>
              <c:f>감만1구역!$C$59:$C$69</c:f>
              <c:numCache>
                <c:formatCode>0_);[Red]\(0\)</c:formatCode>
                <c:ptCount val="11"/>
                <c:pt idx="0">
                  <c:v>980</c:v>
                </c:pt>
                <c:pt idx="1">
                  <c:v>980</c:v>
                </c:pt>
                <c:pt idx="2">
                  <c:v>1000</c:v>
                </c:pt>
                <c:pt idx="3">
                  <c:v>1300</c:v>
                </c:pt>
                <c:pt idx="4">
                  <c:v>1100</c:v>
                </c:pt>
                <c:pt idx="5">
                  <c:v>1320</c:v>
                </c:pt>
                <c:pt idx="6">
                  <c:v>1452.8235294117646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1648896"/>
        <c:axId val="217920576"/>
      </c:lineChart>
      <c:catAx>
        <c:axId val="181648896"/>
        <c:scaling>
          <c:orientation val="minMax"/>
        </c:scaling>
        <c:delete val="0"/>
        <c:axPos val="b"/>
        <c:majorTickMark val="out"/>
        <c:minorTickMark val="none"/>
        <c:tickLblPos val="nextTo"/>
        <c:crossAx val="217920576"/>
        <c:crosses val="autoZero"/>
        <c:auto val="1"/>
        <c:lblAlgn val="ctr"/>
        <c:lblOffset val="100"/>
        <c:noMultiLvlLbl val="0"/>
      </c:catAx>
      <c:valAx>
        <c:axId val="217920576"/>
        <c:scaling>
          <c:orientation val="minMax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816488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dPt>
            <c:idx val="8"/>
            <c:marker>
              <c:spPr>
                <a:solidFill>
                  <a:srgbClr val="FF0000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dPt>
            <c:idx val="11"/>
            <c:marker>
              <c:spPr>
                <a:solidFill>
                  <a:srgbClr val="FF0000"/>
                </a:solidFill>
              </c:spPr>
            </c:marker>
            <c:bubble3D val="0"/>
          </c:dPt>
          <c:cat>
            <c:strRef>
              <c:f>우암2구역!$B$63:$B$74</c:f>
              <c:strCache>
                <c:ptCount val="12"/>
                <c:pt idx="0">
                  <c:v>19년04월~19년06월</c:v>
                </c:pt>
                <c:pt idx="1">
                  <c:v>19년07월~19년09월</c:v>
                </c:pt>
                <c:pt idx="2">
                  <c:v>19년10월~19년12월</c:v>
                </c:pt>
                <c:pt idx="3">
                  <c:v>20년01월~20년03월</c:v>
                </c:pt>
                <c:pt idx="4">
                  <c:v>20년04월~20년06월</c:v>
                </c:pt>
                <c:pt idx="5">
                  <c:v>20년07월~20년09월</c:v>
                </c:pt>
                <c:pt idx="6">
                  <c:v>20년10월~20년12월</c:v>
                </c:pt>
                <c:pt idx="7">
                  <c:v>21년01월~21년03월</c:v>
                </c:pt>
                <c:pt idx="8">
                  <c:v>21년04월~21년06월</c:v>
                </c:pt>
                <c:pt idx="9">
                  <c:v>21년07월~21년09월</c:v>
                </c:pt>
                <c:pt idx="10">
                  <c:v>21년10월~21년12월</c:v>
                </c:pt>
                <c:pt idx="11">
                  <c:v>2022년(완공시)</c:v>
                </c:pt>
              </c:strCache>
            </c:strRef>
          </c:cat>
          <c:val>
            <c:numRef>
              <c:f>우암2구역!$C$63:$C$74</c:f>
              <c:numCache>
                <c:formatCode>_(* #,##0_);_(* \(#,##0\);_(* "-"_);_(@_)</c:formatCode>
                <c:ptCount val="12"/>
                <c:pt idx="0">
                  <c:v>980</c:v>
                </c:pt>
                <c:pt idx="1">
                  <c:v>1020</c:v>
                </c:pt>
                <c:pt idx="2">
                  <c:v>1100</c:v>
                </c:pt>
                <c:pt idx="3">
                  <c:v>1150</c:v>
                </c:pt>
                <c:pt idx="4">
                  <c:v>1400</c:v>
                </c:pt>
                <c:pt idx="5">
                  <c:v>1300</c:v>
                </c:pt>
                <c:pt idx="6">
                  <c:v>1620</c:v>
                </c:pt>
                <c:pt idx="7">
                  <c:v>1590.9705823529412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1645184"/>
        <c:axId val="217948160"/>
      </c:lineChart>
      <c:catAx>
        <c:axId val="191645184"/>
        <c:scaling>
          <c:orientation val="minMax"/>
        </c:scaling>
        <c:delete val="0"/>
        <c:axPos val="b"/>
        <c:majorTickMark val="out"/>
        <c:minorTickMark val="none"/>
        <c:tickLblPos val="nextTo"/>
        <c:crossAx val="217948160"/>
        <c:crosses val="autoZero"/>
        <c:auto val="1"/>
        <c:lblAlgn val="ctr"/>
        <c:lblOffset val="100"/>
        <c:noMultiLvlLbl val="0"/>
      </c:catAx>
      <c:valAx>
        <c:axId val="217948160"/>
        <c:scaling>
          <c:orientation val="minMax"/>
        </c:scaling>
        <c:delete val="0"/>
        <c:axPos val="l"/>
        <c:majorGridlines/>
        <c:numFmt formatCode="_(* #,##0_);_(* \(#,##0\);_(* &quot;-&quot;_);_(@_)" sourceLinked="1"/>
        <c:majorTickMark val="out"/>
        <c:minorTickMark val="none"/>
        <c:tickLblPos val="nextTo"/>
        <c:crossAx val="1916451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우암1구역!$C$61</c:f>
              <c:strCache>
                <c:ptCount val="1"/>
                <c:pt idx="0">
                  <c:v>평균 총구매 평당가(만원)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diamond"/>
            <c:size val="4"/>
            <c:spPr>
              <a:solidFill>
                <a:schemeClr val="accent1"/>
              </a:solidFill>
            </c:spPr>
          </c:marker>
          <c:dPt>
            <c:idx val="8"/>
            <c:marker>
              <c:spPr>
                <a:solidFill>
                  <a:schemeClr val="accent1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dPt>
            <c:idx val="10"/>
            <c:marker>
              <c:spPr>
                <a:solidFill>
                  <a:srgbClr val="FF0000"/>
                </a:solidFill>
              </c:spPr>
            </c:marker>
            <c:bubble3D val="0"/>
          </c:dPt>
          <c:cat>
            <c:strRef>
              <c:f>우암1구역!$B$62:$B$72</c:f>
              <c:strCache>
                <c:ptCount val="11"/>
                <c:pt idx="0">
                  <c:v>2018년</c:v>
                </c:pt>
                <c:pt idx="1">
                  <c:v>19년07월~19년09월</c:v>
                </c:pt>
                <c:pt idx="2">
                  <c:v>19년10월~19년12월</c:v>
                </c:pt>
                <c:pt idx="3">
                  <c:v>20년01월~20년03월</c:v>
                </c:pt>
                <c:pt idx="4">
                  <c:v>20년04월~20년06월</c:v>
                </c:pt>
                <c:pt idx="5">
                  <c:v>20년07월~20년09월</c:v>
                </c:pt>
                <c:pt idx="6">
                  <c:v>20년10월~20년12월</c:v>
                </c:pt>
                <c:pt idx="7">
                  <c:v>21년01월~21년03월</c:v>
                </c:pt>
                <c:pt idx="8">
                  <c:v>21년04월~21년06월</c:v>
                </c:pt>
                <c:pt idx="9">
                  <c:v>21년07월~21년09월</c:v>
                </c:pt>
                <c:pt idx="10">
                  <c:v>2024년 준공예정</c:v>
                </c:pt>
              </c:strCache>
            </c:strRef>
          </c:cat>
          <c:val>
            <c:numRef>
              <c:f>우암1구역!$C$62:$C$72</c:f>
              <c:numCache>
                <c:formatCode>0_);[Red]\(0\)</c:formatCode>
                <c:ptCount val="11"/>
                <c:pt idx="1">
                  <c:v>850</c:v>
                </c:pt>
                <c:pt idx="2">
                  <c:v>910</c:v>
                </c:pt>
                <c:pt idx="3">
                  <c:v>1100</c:v>
                </c:pt>
                <c:pt idx="4">
                  <c:v>1250</c:v>
                </c:pt>
                <c:pt idx="5">
                  <c:v>1500</c:v>
                </c:pt>
                <c:pt idx="6">
                  <c:v>1661</c:v>
                </c:pt>
                <c:pt idx="7">
                  <c:v>1631.5294117647059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1647232"/>
        <c:axId val="217951040"/>
      </c:lineChart>
      <c:catAx>
        <c:axId val="1916472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7951040"/>
        <c:crosses val="autoZero"/>
        <c:auto val="1"/>
        <c:lblAlgn val="ctr"/>
        <c:lblOffset val="100"/>
        <c:noMultiLvlLbl val="0"/>
      </c:catAx>
      <c:valAx>
        <c:axId val="217951040"/>
        <c:scaling>
          <c:orientation val="minMax"/>
          <c:min val="1000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16472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대연3구역!$C$60</c:f>
              <c:strCache>
                <c:ptCount val="1"/>
                <c:pt idx="0">
                  <c:v>평균 총구매 평당가(만원)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diamond"/>
            <c:size val="4"/>
            <c:spPr>
              <a:solidFill>
                <a:schemeClr val="accent1"/>
              </a:solidFill>
            </c:spPr>
          </c:marker>
          <c:dPt>
            <c:idx val="8"/>
            <c:marker>
              <c:spPr>
                <a:solidFill>
                  <a:schemeClr val="accent1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dPt>
            <c:idx val="12"/>
            <c:marker>
              <c:symbol val="diamond"/>
              <c:size val="8"/>
              <c:spPr>
                <a:solidFill>
                  <a:srgbClr val="FF0000"/>
                </a:solidFill>
              </c:spPr>
            </c:marker>
            <c:bubble3D val="0"/>
          </c:dPt>
          <c:cat>
            <c:strRef>
              <c:f>대연3구역!$B$61:$B$73</c:f>
              <c:strCache>
                <c:ptCount val="13"/>
                <c:pt idx="0">
                  <c:v>2018년</c:v>
                </c:pt>
                <c:pt idx="1">
                  <c:v>19년07월~19년09월</c:v>
                </c:pt>
                <c:pt idx="2">
                  <c:v>19년10월~19년12월</c:v>
                </c:pt>
                <c:pt idx="3">
                  <c:v>20년01월~20년03월</c:v>
                </c:pt>
                <c:pt idx="4">
                  <c:v>20년04월~20년06월</c:v>
                </c:pt>
                <c:pt idx="5">
                  <c:v>20년07월~20년09월</c:v>
                </c:pt>
                <c:pt idx="6">
                  <c:v>20년10월~20년12월</c:v>
                </c:pt>
                <c:pt idx="7">
                  <c:v>21년01월~21년03월</c:v>
                </c:pt>
                <c:pt idx="8">
                  <c:v>21년04월~21년06월</c:v>
                </c:pt>
                <c:pt idx="9">
                  <c:v>21년07월~21년09월</c:v>
                </c:pt>
                <c:pt idx="10">
                  <c:v>2024년</c:v>
                </c:pt>
                <c:pt idx="11">
                  <c:v>2025년</c:v>
                </c:pt>
                <c:pt idx="12">
                  <c:v>2026년(완공시)</c:v>
                </c:pt>
              </c:strCache>
            </c:strRef>
          </c:cat>
          <c:val>
            <c:numRef>
              <c:f>대연3구역!$C$61:$C$73</c:f>
              <c:numCache>
                <c:formatCode>0_);[Red]\(0\)</c:formatCode>
                <c:ptCount val="13"/>
                <c:pt idx="0">
                  <c:v>1250</c:v>
                </c:pt>
                <c:pt idx="1">
                  <c:v>1480</c:v>
                </c:pt>
                <c:pt idx="2">
                  <c:v>1700</c:v>
                </c:pt>
                <c:pt idx="3">
                  <c:v>2100</c:v>
                </c:pt>
                <c:pt idx="4">
                  <c:v>2300</c:v>
                </c:pt>
                <c:pt idx="5">
                  <c:v>2500</c:v>
                </c:pt>
                <c:pt idx="6">
                  <c:v>2963</c:v>
                </c:pt>
                <c:pt idx="7">
                  <c:v>2963.4794117647061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369984"/>
        <c:axId val="217953920"/>
      </c:lineChart>
      <c:catAx>
        <c:axId val="513699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7953920"/>
        <c:crosses val="autoZero"/>
        <c:auto val="1"/>
        <c:lblAlgn val="ctr"/>
        <c:lblOffset val="100"/>
        <c:noMultiLvlLbl val="0"/>
      </c:catAx>
      <c:valAx>
        <c:axId val="217953920"/>
        <c:scaling>
          <c:orientation val="minMax"/>
          <c:min val="1000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513699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대연4구역!$C$64</c:f>
              <c:strCache>
                <c:ptCount val="1"/>
                <c:pt idx="0">
                  <c:v>평균 총구매 평당가(만원)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diamond"/>
            <c:size val="4"/>
            <c:spPr>
              <a:solidFill>
                <a:schemeClr val="accent1"/>
              </a:solidFill>
            </c:spPr>
          </c:marker>
          <c:dPt>
            <c:idx val="8"/>
            <c:marker>
              <c:spPr>
                <a:solidFill>
                  <a:schemeClr val="accent1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dPt>
            <c:idx val="10"/>
            <c:marker>
              <c:spPr>
                <a:solidFill>
                  <a:srgbClr val="FF0000"/>
                </a:solidFill>
              </c:spPr>
            </c:marker>
            <c:bubble3D val="0"/>
          </c:dPt>
          <c:cat>
            <c:strRef>
              <c:f>대연4구역!$B$65:$B$75</c:f>
              <c:strCache>
                <c:ptCount val="11"/>
                <c:pt idx="0">
                  <c:v>2018년</c:v>
                </c:pt>
                <c:pt idx="1">
                  <c:v>19년07월~19년09월</c:v>
                </c:pt>
                <c:pt idx="2">
                  <c:v>19년10월~19년12월</c:v>
                </c:pt>
                <c:pt idx="3">
                  <c:v>20년01월~20년03월</c:v>
                </c:pt>
                <c:pt idx="4">
                  <c:v>20년04월~20년06월</c:v>
                </c:pt>
                <c:pt idx="5">
                  <c:v>20년07월~20년09월</c:v>
                </c:pt>
                <c:pt idx="6">
                  <c:v>20년10월~20년12월</c:v>
                </c:pt>
                <c:pt idx="7">
                  <c:v>21년01월~21년03월</c:v>
                </c:pt>
                <c:pt idx="8">
                  <c:v>21년04월~21년06월</c:v>
                </c:pt>
                <c:pt idx="9">
                  <c:v>21년07월~21년09월</c:v>
                </c:pt>
                <c:pt idx="10">
                  <c:v>21년10월~21년12월</c:v>
                </c:pt>
              </c:strCache>
            </c:strRef>
          </c:cat>
          <c:val>
            <c:numRef>
              <c:f>대연4구역!$C$65:$C$75</c:f>
              <c:numCache>
                <c:formatCode>0_);[Red]\(0\)</c:formatCode>
                <c:ptCount val="11"/>
                <c:pt idx="1">
                  <c:v>1130</c:v>
                </c:pt>
                <c:pt idx="2">
                  <c:v>1400</c:v>
                </c:pt>
                <c:pt idx="3">
                  <c:v>1600</c:v>
                </c:pt>
                <c:pt idx="4">
                  <c:v>1700</c:v>
                </c:pt>
                <c:pt idx="5">
                  <c:v>1900</c:v>
                </c:pt>
                <c:pt idx="6">
                  <c:v>2298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2435712"/>
        <c:axId val="192496192"/>
      </c:lineChart>
      <c:catAx>
        <c:axId val="1924357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2496192"/>
        <c:crosses val="autoZero"/>
        <c:auto val="1"/>
        <c:lblAlgn val="ctr"/>
        <c:lblOffset val="100"/>
        <c:noMultiLvlLbl val="0"/>
      </c:catAx>
      <c:valAx>
        <c:axId val="192496192"/>
        <c:scaling>
          <c:orientation val="minMax"/>
          <c:min val="1000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24357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대연8구역!$C$62</c:f>
              <c:strCache>
                <c:ptCount val="1"/>
                <c:pt idx="0">
                  <c:v>가감정가 대비 p(만원)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diamond"/>
            <c:size val="4"/>
            <c:spPr>
              <a:solidFill>
                <a:schemeClr val="accent1"/>
              </a:solidFill>
            </c:spPr>
          </c:marker>
          <c:dPt>
            <c:idx val="8"/>
            <c:marker>
              <c:spPr>
                <a:solidFill>
                  <a:schemeClr val="accent1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dPt>
            <c:idx val="12"/>
            <c:marker>
              <c:symbol val="diamond"/>
              <c:size val="8"/>
              <c:spPr>
                <a:solidFill>
                  <a:srgbClr val="FF0000"/>
                </a:solidFill>
              </c:spPr>
            </c:marker>
            <c:bubble3D val="0"/>
          </c:dPt>
          <c:cat>
            <c:strRef>
              <c:f>대연8구역!$B$63:$B$75</c:f>
              <c:strCache>
                <c:ptCount val="13"/>
                <c:pt idx="0">
                  <c:v>2018년</c:v>
                </c:pt>
                <c:pt idx="1">
                  <c:v>19년07월~19년09월</c:v>
                </c:pt>
                <c:pt idx="2">
                  <c:v>19년10월~19년12월</c:v>
                </c:pt>
                <c:pt idx="3">
                  <c:v>20년01월~20년03월</c:v>
                </c:pt>
                <c:pt idx="4">
                  <c:v>20년04월~20년06월</c:v>
                </c:pt>
                <c:pt idx="5">
                  <c:v>20년07월~20년09월</c:v>
                </c:pt>
                <c:pt idx="6">
                  <c:v>20년10월~20년12월</c:v>
                </c:pt>
                <c:pt idx="7">
                  <c:v>21년01월~21년03월</c:v>
                </c:pt>
                <c:pt idx="8">
                  <c:v>21년04월~24년06월</c:v>
                </c:pt>
                <c:pt idx="9">
                  <c:v>21년07월~20년09월</c:v>
                </c:pt>
                <c:pt idx="10">
                  <c:v>21년10월~21년12월</c:v>
                </c:pt>
                <c:pt idx="11">
                  <c:v>22년01월~21년03월</c:v>
                </c:pt>
                <c:pt idx="12">
                  <c:v>22년04월~22년06일</c:v>
                </c:pt>
              </c:strCache>
            </c:strRef>
          </c:cat>
          <c:val>
            <c:numRef>
              <c:f>대연8구역!$C$63:$C$75</c:f>
              <c:numCache>
                <c:formatCode>0_);[Red]\(0\)</c:formatCode>
                <c:ptCount val="13"/>
                <c:pt idx="1">
                  <c:v>1547</c:v>
                </c:pt>
                <c:pt idx="2">
                  <c:v>1635</c:v>
                </c:pt>
                <c:pt idx="3">
                  <c:v>1841</c:v>
                </c:pt>
                <c:pt idx="4">
                  <c:v>2194</c:v>
                </c:pt>
                <c:pt idx="5">
                  <c:v>2223</c:v>
                </c:pt>
                <c:pt idx="6">
                  <c:v>2847</c:v>
                </c:pt>
                <c:pt idx="7">
                  <c:v>2758.4941176470588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2964096"/>
        <c:axId val="192499072"/>
      </c:lineChart>
      <c:catAx>
        <c:axId val="1929640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2499072"/>
        <c:crosses val="autoZero"/>
        <c:auto val="1"/>
        <c:lblAlgn val="ctr"/>
        <c:lblOffset val="100"/>
        <c:noMultiLvlLbl val="0"/>
      </c:catAx>
      <c:valAx>
        <c:axId val="192499072"/>
        <c:scaling>
          <c:orientation val="minMax"/>
          <c:min val="1000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29640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marker>
            <c:symbol val="diamond"/>
            <c:size val="4"/>
          </c:marker>
          <c:dPt>
            <c:idx val="8"/>
            <c:marker>
              <c:spPr>
                <a:solidFill>
                  <a:srgbClr val="FF0000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cat>
            <c:strRef>
              <c:f>복산1구역!$B$69:$B$81</c:f>
              <c:strCache>
                <c:ptCount val="13"/>
                <c:pt idx="0">
                  <c:v>2018년</c:v>
                </c:pt>
                <c:pt idx="1">
                  <c:v>19년07월~19년09월</c:v>
                </c:pt>
                <c:pt idx="2">
                  <c:v>19년10월~19년12월</c:v>
                </c:pt>
                <c:pt idx="3">
                  <c:v>20년01월~20년03월</c:v>
                </c:pt>
                <c:pt idx="4">
                  <c:v>20년04월~20년06월</c:v>
                </c:pt>
                <c:pt idx="5">
                  <c:v>20년07월~20년09월</c:v>
                </c:pt>
                <c:pt idx="6">
                  <c:v>20년10월~20년12월</c:v>
                </c:pt>
                <c:pt idx="7">
                  <c:v>21년01월~21년03월</c:v>
                </c:pt>
                <c:pt idx="8">
                  <c:v>21년03월~21년06월</c:v>
                </c:pt>
                <c:pt idx="9">
                  <c:v>21년07월~21년09월</c:v>
                </c:pt>
                <c:pt idx="10">
                  <c:v>21년10월~21년12월</c:v>
                </c:pt>
                <c:pt idx="11">
                  <c:v>22년01월~22년03월</c:v>
                </c:pt>
                <c:pt idx="12">
                  <c:v>2026년(완공시)</c:v>
                </c:pt>
              </c:strCache>
            </c:strRef>
          </c:cat>
          <c:val>
            <c:numRef>
              <c:f>복산1구역!$C$69:$C$81</c:f>
              <c:numCache>
                <c:formatCode>0_);[Red]\(0\)</c:formatCode>
                <c:ptCount val="13"/>
                <c:pt idx="0">
                  <c:v>1300</c:v>
                </c:pt>
                <c:pt idx="1">
                  <c:v>1400</c:v>
                </c:pt>
                <c:pt idx="2">
                  <c:v>1500</c:v>
                </c:pt>
                <c:pt idx="3">
                  <c:v>1500</c:v>
                </c:pt>
                <c:pt idx="4">
                  <c:v>1800</c:v>
                </c:pt>
                <c:pt idx="5">
                  <c:v>2100</c:v>
                </c:pt>
                <c:pt idx="6">
                  <c:v>3175</c:v>
                </c:pt>
                <c:pt idx="7">
                  <c:v>3042.6470588235293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3638400"/>
        <c:axId val="192501952"/>
      </c:lineChart>
      <c:catAx>
        <c:axId val="193638400"/>
        <c:scaling>
          <c:orientation val="minMax"/>
        </c:scaling>
        <c:delete val="0"/>
        <c:axPos val="b"/>
        <c:majorTickMark val="out"/>
        <c:minorTickMark val="none"/>
        <c:tickLblPos val="nextTo"/>
        <c:crossAx val="192501952"/>
        <c:crosses val="autoZero"/>
        <c:auto val="1"/>
        <c:lblAlgn val="ctr"/>
        <c:lblOffset val="100"/>
        <c:noMultiLvlLbl val="0"/>
      </c:catAx>
      <c:valAx>
        <c:axId val="192501952"/>
        <c:scaling>
          <c:orientation val="minMax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363840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우동3구역!$C$68</c:f>
              <c:strCache>
                <c:ptCount val="1"/>
                <c:pt idx="0">
                  <c:v>총구매 평당가(만원)</c:v>
                </c:pt>
              </c:strCache>
            </c:strRef>
          </c:tx>
          <c:dPt>
            <c:idx val="8"/>
            <c:marker>
              <c:spPr>
                <a:solidFill>
                  <a:srgbClr val="FF0000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dPt>
            <c:idx val="10"/>
            <c:marker>
              <c:spPr>
                <a:solidFill>
                  <a:srgbClr val="FF0000"/>
                </a:solidFill>
              </c:spPr>
            </c:marker>
            <c:bubble3D val="0"/>
          </c:dPt>
          <c:cat>
            <c:strRef>
              <c:f>우동3구역!$B$69:$B$79</c:f>
              <c:strCache>
                <c:ptCount val="11"/>
                <c:pt idx="0">
                  <c:v>19년07월~19년09월</c:v>
                </c:pt>
                <c:pt idx="1">
                  <c:v>19년10월~19년12월</c:v>
                </c:pt>
                <c:pt idx="2">
                  <c:v>20년01월~20년03월</c:v>
                </c:pt>
                <c:pt idx="3">
                  <c:v>20년04월~20년06월</c:v>
                </c:pt>
                <c:pt idx="4">
                  <c:v>20년07월~20년09월</c:v>
                </c:pt>
                <c:pt idx="5">
                  <c:v>20년10월~20년12월</c:v>
                </c:pt>
                <c:pt idx="6">
                  <c:v>21년01월~21년03월</c:v>
                </c:pt>
                <c:pt idx="7">
                  <c:v>21년04월~21년06월</c:v>
                </c:pt>
                <c:pt idx="8">
                  <c:v>21년07월~21년09월</c:v>
                </c:pt>
                <c:pt idx="9">
                  <c:v>21년10월~21년12월</c:v>
                </c:pt>
                <c:pt idx="10">
                  <c:v>2027년(완공시)</c:v>
                </c:pt>
              </c:strCache>
            </c:strRef>
          </c:cat>
          <c:val>
            <c:numRef>
              <c:f>우동3구역!$C$69:$C$79</c:f>
              <c:numCache>
                <c:formatCode>0_);[Red]\(0\)</c:formatCode>
                <c:ptCount val="11"/>
                <c:pt idx="0">
                  <c:v>3700</c:v>
                </c:pt>
                <c:pt idx="1">
                  <c:v>3700</c:v>
                </c:pt>
                <c:pt idx="2">
                  <c:v>3700</c:v>
                </c:pt>
                <c:pt idx="3">
                  <c:v>3700</c:v>
                </c:pt>
                <c:pt idx="4">
                  <c:v>3700</c:v>
                </c:pt>
                <c:pt idx="5">
                  <c:v>4834</c:v>
                </c:pt>
                <c:pt idx="6">
                  <c:v>5099.0294117647063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3640448"/>
        <c:axId val="192751872"/>
      </c:lineChart>
      <c:catAx>
        <c:axId val="193640448"/>
        <c:scaling>
          <c:orientation val="minMax"/>
        </c:scaling>
        <c:delete val="0"/>
        <c:axPos val="b"/>
        <c:majorTickMark val="out"/>
        <c:minorTickMark val="none"/>
        <c:tickLblPos val="nextTo"/>
        <c:crossAx val="192751872"/>
        <c:crosses val="autoZero"/>
        <c:auto val="1"/>
        <c:lblAlgn val="ctr"/>
        <c:lblOffset val="100"/>
        <c:noMultiLvlLbl val="0"/>
      </c:catAx>
      <c:valAx>
        <c:axId val="192751872"/>
        <c:scaling>
          <c:orientation val="minMax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36404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광안2구역!$C$60</c:f>
              <c:strCache>
                <c:ptCount val="1"/>
                <c:pt idx="0">
                  <c:v>평균 총구매 평당가(만원)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diamond"/>
            <c:size val="4"/>
            <c:spPr>
              <a:solidFill>
                <a:schemeClr val="accent1"/>
              </a:solidFill>
            </c:spPr>
          </c:marker>
          <c:dPt>
            <c:idx val="8"/>
            <c:marker>
              <c:spPr>
                <a:solidFill>
                  <a:schemeClr val="accent1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dPt>
            <c:idx val="12"/>
            <c:marker>
              <c:symbol val="diamond"/>
              <c:size val="8"/>
              <c:spPr>
                <a:solidFill>
                  <a:srgbClr val="FF0000"/>
                </a:solidFill>
              </c:spPr>
            </c:marker>
            <c:bubble3D val="0"/>
          </c:dPt>
          <c:cat>
            <c:strRef>
              <c:f>광안2구역!$B$61:$B$73</c:f>
              <c:strCache>
                <c:ptCount val="13"/>
                <c:pt idx="0">
                  <c:v>2018년</c:v>
                </c:pt>
                <c:pt idx="1">
                  <c:v>19년07월~19년09월</c:v>
                </c:pt>
                <c:pt idx="2">
                  <c:v>19년10월~19년12월</c:v>
                </c:pt>
                <c:pt idx="3">
                  <c:v>20년01월~20년03월</c:v>
                </c:pt>
                <c:pt idx="4">
                  <c:v>20년04월~20년06월</c:v>
                </c:pt>
                <c:pt idx="5">
                  <c:v>20년07월~20년09월</c:v>
                </c:pt>
                <c:pt idx="6">
                  <c:v>20년10월~20년12월</c:v>
                </c:pt>
                <c:pt idx="7">
                  <c:v>21년01월~21년03월</c:v>
                </c:pt>
                <c:pt idx="8">
                  <c:v>21년04월~21년06월</c:v>
                </c:pt>
                <c:pt idx="9">
                  <c:v>21년07월~21년09월</c:v>
                </c:pt>
                <c:pt idx="10">
                  <c:v>21년10월~21년12월</c:v>
                </c:pt>
                <c:pt idx="11">
                  <c:v>2022년</c:v>
                </c:pt>
                <c:pt idx="12">
                  <c:v>2026년(완공시)</c:v>
                </c:pt>
              </c:strCache>
            </c:strRef>
          </c:cat>
          <c:val>
            <c:numRef>
              <c:f>광안2구역!$C$61:$C$73</c:f>
              <c:numCache>
                <c:formatCode>0_);[Red]\(0\)</c:formatCode>
                <c:ptCount val="13"/>
                <c:pt idx="1">
                  <c:v>1605</c:v>
                </c:pt>
                <c:pt idx="2">
                  <c:v>2047</c:v>
                </c:pt>
                <c:pt idx="3">
                  <c:v>2300</c:v>
                </c:pt>
                <c:pt idx="4">
                  <c:v>2400</c:v>
                </c:pt>
                <c:pt idx="5">
                  <c:v>2694</c:v>
                </c:pt>
                <c:pt idx="6">
                  <c:v>3459</c:v>
                </c:pt>
                <c:pt idx="7">
                  <c:v>3458.8235294117644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3462272"/>
        <c:axId val="192754752"/>
      </c:lineChart>
      <c:catAx>
        <c:axId val="1934622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2754752"/>
        <c:crosses val="autoZero"/>
        <c:auto val="1"/>
        <c:lblAlgn val="ctr"/>
        <c:lblOffset val="100"/>
        <c:noMultiLvlLbl val="0"/>
      </c:catAx>
      <c:valAx>
        <c:axId val="192754752"/>
        <c:scaling>
          <c:orientation val="minMax"/>
          <c:min val="1000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34622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'서금사 재정비 촉진A'!$C$60</c:f>
              <c:strCache>
                <c:ptCount val="1"/>
                <c:pt idx="0">
                  <c:v>평균 총구매 평당가(만원)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diamond"/>
            <c:size val="4"/>
            <c:spPr>
              <a:solidFill>
                <a:schemeClr val="accent1"/>
              </a:solidFill>
            </c:spPr>
          </c:marker>
          <c:dPt>
            <c:idx val="8"/>
            <c:marker>
              <c:spPr>
                <a:solidFill>
                  <a:schemeClr val="accent1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dPt>
            <c:idx val="10"/>
            <c:marker>
              <c:spPr>
                <a:solidFill>
                  <a:srgbClr val="FF0000"/>
                </a:solidFill>
              </c:spPr>
            </c:marker>
            <c:bubble3D val="0"/>
          </c:dPt>
          <c:cat>
            <c:strRef>
              <c:f>'서금사 재정비 촉진A'!$B$61:$B$71</c:f>
              <c:strCache>
                <c:ptCount val="11"/>
                <c:pt idx="0">
                  <c:v>2019년</c:v>
                </c:pt>
                <c:pt idx="1">
                  <c:v>20년01월~20년03월</c:v>
                </c:pt>
                <c:pt idx="2">
                  <c:v>20년04월~20년06월</c:v>
                </c:pt>
                <c:pt idx="3">
                  <c:v>20년07월~20년09월</c:v>
                </c:pt>
                <c:pt idx="4">
                  <c:v>20년10월~20년12월</c:v>
                </c:pt>
                <c:pt idx="5">
                  <c:v>21년01월~21년03월</c:v>
                </c:pt>
                <c:pt idx="6">
                  <c:v>21년04월~21년06월</c:v>
                </c:pt>
                <c:pt idx="7">
                  <c:v>21년07월~21년09월</c:v>
                </c:pt>
                <c:pt idx="8">
                  <c:v>21년10월~21년12월</c:v>
                </c:pt>
                <c:pt idx="9">
                  <c:v>2022년</c:v>
                </c:pt>
                <c:pt idx="10">
                  <c:v>2026년 준공예정</c:v>
                </c:pt>
              </c:strCache>
            </c:strRef>
          </c:cat>
          <c:val>
            <c:numRef>
              <c:f>'서금사 재정비 촉진A'!$C$61:$C$71</c:f>
              <c:numCache>
                <c:formatCode>0_);[Red]\(0\)</c:formatCode>
                <c:ptCount val="11"/>
                <c:pt idx="0">
                  <c:v>2000</c:v>
                </c:pt>
                <c:pt idx="1">
                  <c:v>2300</c:v>
                </c:pt>
                <c:pt idx="2">
                  <c:v>2300</c:v>
                </c:pt>
                <c:pt idx="3">
                  <c:v>2500</c:v>
                </c:pt>
                <c:pt idx="4">
                  <c:v>4673</c:v>
                </c:pt>
                <c:pt idx="5">
                  <c:v>4673.4058823529413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3464320"/>
        <c:axId val="192881216"/>
      </c:lineChart>
      <c:catAx>
        <c:axId val="1934643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2881216"/>
        <c:crosses val="autoZero"/>
        <c:auto val="1"/>
        <c:lblAlgn val="ctr"/>
        <c:lblOffset val="100"/>
        <c:noMultiLvlLbl val="0"/>
      </c:catAx>
      <c:valAx>
        <c:axId val="192881216"/>
        <c:scaling>
          <c:orientation val="minMax"/>
          <c:min val="1000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34643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'서금사 재정비 촉진5'!$C$59</c:f>
              <c:strCache>
                <c:ptCount val="1"/>
                <c:pt idx="0">
                  <c:v>평균 총구매 평당가(만원)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diamond"/>
            <c:size val="4"/>
            <c:spPr>
              <a:solidFill>
                <a:schemeClr val="accent1"/>
              </a:solidFill>
            </c:spPr>
          </c:marker>
          <c:dPt>
            <c:idx val="8"/>
            <c:marker>
              <c:spPr>
                <a:solidFill>
                  <a:schemeClr val="accent1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dPt>
            <c:idx val="10"/>
            <c:marker>
              <c:spPr>
                <a:solidFill>
                  <a:srgbClr val="FF0000"/>
                </a:solidFill>
              </c:spPr>
            </c:marker>
            <c:bubble3D val="0"/>
          </c:dPt>
          <c:cat>
            <c:strRef>
              <c:f>'서금사 재정비 촉진5'!$B$60:$B$70</c:f>
              <c:strCache>
                <c:ptCount val="11"/>
                <c:pt idx="0">
                  <c:v>20년01월~20년03월</c:v>
                </c:pt>
                <c:pt idx="1">
                  <c:v>20년04월~20년06월</c:v>
                </c:pt>
                <c:pt idx="2">
                  <c:v>20년07월~20년09월</c:v>
                </c:pt>
                <c:pt idx="3">
                  <c:v>20년10월~20년12월</c:v>
                </c:pt>
                <c:pt idx="4">
                  <c:v>21년01월~21년03월</c:v>
                </c:pt>
                <c:pt idx="5">
                  <c:v>21년04월~21년06월</c:v>
                </c:pt>
                <c:pt idx="6">
                  <c:v>21년07월~21년09월</c:v>
                </c:pt>
                <c:pt idx="7">
                  <c:v>21년10월~21년12월</c:v>
                </c:pt>
                <c:pt idx="8">
                  <c:v>2022년</c:v>
                </c:pt>
                <c:pt idx="9">
                  <c:v>2023년</c:v>
                </c:pt>
                <c:pt idx="10">
                  <c:v>2030년 준공예정</c:v>
                </c:pt>
              </c:strCache>
            </c:strRef>
          </c:cat>
          <c:val>
            <c:numRef>
              <c:f>'서금사 재정비 촉진5'!$C$60:$C$70</c:f>
              <c:numCache>
                <c:formatCode>0_);[Red]\(0\)</c:formatCode>
                <c:ptCount val="11"/>
                <c:pt idx="0">
                  <c:v>1500</c:v>
                </c:pt>
                <c:pt idx="1">
                  <c:v>1700</c:v>
                </c:pt>
                <c:pt idx="2">
                  <c:v>1791</c:v>
                </c:pt>
                <c:pt idx="3">
                  <c:v>2273</c:v>
                </c:pt>
                <c:pt idx="4">
                  <c:v>2184.9235294117643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3196032"/>
        <c:axId val="192884096"/>
      </c:lineChart>
      <c:catAx>
        <c:axId val="1931960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2884096"/>
        <c:crosses val="autoZero"/>
        <c:auto val="1"/>
        <c:lblAlgn val="ctr"/>
        <c:lblOffset val="100"/>
        <c:noMultiLvlLbl val="0"/>
      </c:catAx>
      <c:valAx>
        <c:axId val="192884096"/>
        <c:scaling>
          <c:orientation val="minMax"/>
          <c:min val="1000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31960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marker>
            <c:symbol val="diamond"/>
            <c:size val="4"/>
          </c:marker>
          <c:dPt>
            <c:idx val="8"/>
            <c:marker>
              <c:spPr>
                <a:solidFill>
                  <a:srgbClr val="FF0000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cat>
            <c:strRef>
              <c:f>온천4!$B$91:$B$103</c:f>
              <c:strCache>
                <c:ptCount val="13"/>
                <c:pt idx="0">
                  <c:v>2018년</c:v>
                </c:pt>
                <c:pt idx="1">
                  <c:v>19년07월~19년09월</c:v>
                </c:pt>
                <c:pt idx="2">
                  <c:v>19년10월~19년12월</c:v>
                </c:pt>
                <c:pt idx="3">
                  <c:v>20년01월~20년03월</c:v>
                </c:pt>
                <c:pt idx="4">
                  <c:v>20년04월~20년06월</c:v>
                </c:pt>
                <c:pt idx="5">
                  <c:v>20년07월~20년09월</c:v>
                </c:pt>
                <c:pt idx="6">
                  <c:v>20년10월~20년12월</c:v>
                </c:pt>
                <c:pt idx="7">
                  <c:v>21년01월~21년03월</c:v>
                </c:pt>
                <c:pt idx="8">
                  <c:v>21년03월~21년06월</c:v>
                </c:pt>
                <c:pt idx="9">
                  <c:v>21년07월~21년09월</c:v>
                </c:pt>
                <c:pt idx="10">
                  <c:v>21년10월~21년12월</c:v>
                </c:pt>
                <c:pt idx="11">
                  <c:v>22년01월~22년03월</c:v>
                </c:pt>
                <c:pt idx="12">
                  <c:v>2026년(완공시)</c:v>
                </c:pt>
              </c:strCache>
            </c:strRef>
          </c:cat>
          <c:val>
            <c:numRef>
              <c:f>온천4!$C$91:$C$103</c:f>
              <c:numCache>
                <c:formatCode>0_);[Red]\(0\)</c:formatCode>
                <c:ptCount val="13"/>
                <c:pt idx="1">
                  <c:v>1727</c:v>
                </c:pt>
                <c:pt idx="2">
                  <c:v>1800</c:v>
                </c:pt>
                <c:pt idx="3">
                  <c:v>2036</c:v>
                </c:pt>
                <c:pt idx="4">
                  <c:v>2200</c:v>
                </c:pt>
                <c:pt idx="5">
                  <c:v>2581</c:v>
                </c:pt>
                <c:pt idx="6">
                  <c:v>3228</c:v>
                </c:pt>
                <c:pt idx="7">
                  <c:v>3227.7968882352939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3198080"/>
        <c:axId val="192886976"/>
      </c:lineChart>
      <c:catAx>
        <c:axId val="193198080"/>
        <c:scaling>
          <c:orientation val="minMax"/>
        </c:scaling>
        <c:delete val="0"/>
        <c:axPos val="b"/>
        <c:numFmt formatCode="0_);[Red]\(0\)" sourceLinked="1"/>
        <c:majorTickMark val="out"/>
        <c:minorTickMark val="none"/>
        <c:tickLblPos val="nextTo"/>
        <c:crossAx val="192886976"/>
        <c:crosses val="autoZero"/>
        <c:auto val="1"/>
        <c:lblAlgn val="ctr"/>
        <c:lblOffset val="100"/>
        <c:noMultiLvlLbl val="0"/>
      </c:catAx>
      <c:valAx>
        <c:axId val="192886976"/>
        <c:scaling>
          <c:orientation val="minMax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31980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양정1구역!$C$66</c:f>
              <c:strCache>
                <c:ptCount val="1"/>
                <c:pt idx="0">
                  <c:v>총구매 평당가(만원)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diamond"/>
            <c:size val="4"/>
            <c:spPr>
              <a:solidFill>
                <a:schemeClr val="accent1"/>
              </a:solidFill>
            </c:spPr>
          </c:marker>
          <c:dPt>
            <c:idx val="8"/>
            <c:marker>
              <c:spPr>
                <a:solidFill>
                  <a:schemeClr val="accent1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cat>
            <c:strRef>
              <c:f>양정1구역!$B$67:$B$75</c:f>
              <c:strCache>
                <c:ptCount val="9"/>
                <c:pt idx="0">
                  <c:v>2019년</c:v>
                </c:pt>
                <c:pt idx="1">
                  <c:v>20년01월~20년03월</c:v>
                </c:pt>
                <c:pt idx="2">
                  <c:v>20년04월~20년06월</c:v>
                </c:pt>
                <c:pt idx="3">
                  <c:v>20년07월~20년09월</c:v>
                </c:pt>
                <c:pt idx="4">
                  <c:v>20년10월~20년12월</c:v>
                </c:pt>
                <c:pt idx="5">
                  <c:v>21년01월~21년03월</c:v>
                </c:pt>
                <c:pt idx="6">
                  <c:v>21년04월~21년05월</c:v>
                </c:pt>
                <c:pt idx="7">
                  <c:v>21년06월~21년09월</c:v>
                </c:pt>
                <c:pt idx="8">
                  <c:v>2024년(완공시)</c:v>
                </c:pt>
              </c:strCache>
            </c:strRef>
          </c:cat>
          <c:val>
            <c:numRef>
              <c:f>양정1구역!$C$67:$C$75</c:f>
              <c:numCache>
                <c:formatCode>0_);[Red]\(0\)</c:formatCode>
                <c:ptCount val="9"/>
                <c:pt idx="0">
                  <c:v>1600</c:v>
                </c:pt>
                <c:pt idx="1">
                  <c:v>1700</c:v>
                </c:pt>
                <c:pt idx="2">
                  <c:v>1900</c:v>
                </c:pt>
                <c:pt idx="3">
                  <c:v>2000</c:v>
                </c:pt>
                <c:pt idx="4">
                  <c:v>2776</c:v>
                </c:pt>
                <c:pt idx="5">
                  <c:v>2775.8058823529409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3058304"/>
        <c:axId val="194053248"/>
      </c:lineChart>
      <c:catAx>
        <c:axId val="1930583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4053248"/>
        <c:crosses val="autoZero"/>
        <c:auto val="1"/>
        <c:lblAlgn val="ctr"/>
        <c:lblOffset val="100"/>
        <c:noMultiLvlLbl val="0"/>
      </c:catAx>
      <c:valAx>
        <c:axId val="194053248"/>
        <c:scaling>
          <c:orientation val="minMax"/>
          <c:min val="1000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305830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양정1구역!$C$66</c:f>
              <c:strCache>
                <c:ptCount val="1"/>
                <c:pt idx="0">
                  <c:v>총구매 평당가(만원)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diamond"/>
            <c:size val="4"/>
            <c:spPr>
              <a:solidFill>
                <a:schemeClr val="accent1"/>
              </a:solidFill>
            </c:spPr>
          </c:marker>
          <c:dPt>
            <c:idx val="8"/>
            <c:marker>
              <c:spPr>
                <a:solidFill>
                  <a:schemeClr val="accent1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cat>
            <c:strRef>
              <c:f>양정1구역!$B$67:$B$75</c:f>
              <c:strCache>
                <c:ptCount val="9"/>
                <c:pt idx="0">
                  <c:v>2019년</c:v>
                </c:pt>
                <c:pt idx="1">
                  <c:v>20년01월~20년03월</c:v>
                </c:pt>
                <c:pt idx="2">
                  <c:v>20년04월~20년06월</c:v>
                </c:pt>
                <c:pt idx="3">
                  <c:v>20년07월~20년09월</c:v>
                </c:pt>
                <c:pt idx="4">
                  <c:v>20년10월~20년12월</c:v>
                </c:pt>
                <c:pt idx="5">
                  <c:v>21년01월~21년03월</c:v>
                </c:pt>
                <c:pt idx="6">
                  <c:v>21년04월~21년05월</c:v>
                </c:pt>
                <c:pt idx="7">
                  <c:v>21년06월~21년09월</c:v>
                </c:pt>
                <c:pt idx="8">
                  <c:v>2024년(완공시)</c:v>
                </c:pt>
              </c:strCache>
            </c:strRef>
          </c:cat>
          <c:val>
            <c:numRef>
              <c:f>양정1구역!$C$67:$C$75</c:f>
              <c:numCache>
                <c:formatCode>0_);[Red]\(0\)</c:formatCode>
                <c:ptCount val="9"/>
                <c:pt idx="0">
                  <c:v>1600</c:v>
                </c:pt>
                <c:pt idx="1">
                  <c:v>1700</c:v>
                </c:pt>
                <c:pt idx="2">
                  <c:v>1900</c:v>
                </c:pt>
                <c:pt idx="3">
                  <c:v>2000</c:v>
                </c:pt>
                <c:pt idx="4">
                  <c:v>2776</c:v>
                </c:pt>
                <c:pt idx="5">
                  <c:v>2775.8058823529409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3833472"/>
        <c:axId val="194056128"/>
      </c:lineChart>
      <c:catAx>
        <c:axId val="1938334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4056128"/>
        <c:crosses val="autoZero"/>
        <c:auto val="1"/>
        <c:lblAlgn val="ctr"/>
        <c:lblOffset val="100"/>
        <c:noMultiLvlLbl val="0"/>
      </c:catAx>
      <c:valAx>
        <c:axId val="194056128"/>
        <c:scaling>
          <c:orientation val="minMax"/>
          <c:min val="1000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38334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양정3구역!$C$58</c:f>
              <c:strCache>
                <c:ptCount val="1"/>
                <c:pt idx="0">
                  <c:v>총구매 평당가(만원)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diamond"/>
            <c:size val="4"/>
            <c:spPr>
              <a:solidFill>
                <a:schemeClr val="accent1"/>
              </a:solidFill>
            </c:spPr>
          </c:marker>
          <c:dPt>
            <c:idx val="8"/>
            <c:marker>
              <c:spPr>
                <a:solidFill>
                  <a:schemeClr val="accent1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cat>
            <c:strRef>
              <c:f>양정3구역!$B$59:$B$69</c:f>
              <c:strCache>
                <c:ptCount val="11"/>
                <c:pt idx="0">
                  <c:v>2019년</c:v>
                </c:pt>
                <c:pt idx="1">
                  <c:v>20년01월~20년03월</c:v>
                </c:pt>
                <c:pt idx="2">
                  <c:v>20년04월~20년06월</c:v>
                </c:pt>
                <c:pt idx="3">
                  <c:v>20년07월~20년09월</c:v>
                </c:pt>
                <c:pt idx="4">
                  <c:v>20년10월~20년12월</c:v>
                </c:pt>
                <c:pt idx="5">
                  <c:v>21년01월~21년03월</c:v>
                </c:pt>
                <c:pt idx="6">
                  <c:v>21년04월~21년05월</c:v>
                </c:pt>
                <c:pt idx="7">
                  <c:v>21년06월~21년09월</c:v>
                </c:pt>
                <c:pt idx="8">
                  <c:v>21년10월~21년12월</c:v>
                </c:pt>
                <c:pt idx="9">
                  <c:v>22년01월~22년03월</c:v>
                </c:pt>
                <c:pt idx="10">
                  <c:v>2026년(완공시)</c:v>
                </c:pt>
              </c:strCache>
            </c:strRef>
          </c:cat>
          <c:val>
            <c:numRef>
              <c:f>양정3구역!$C$59:$C$69</c:f>
              <c:numCache>
                <c:formatCode>0_);[Red]\(0\)</c:formatCode>
                <c:ptCount val="11"/>
                <c:pt idx="0">
                  <c:v>1700</c:v>
                </c:pt>
                <c:pt idx="1">
                  <c:v>1800</c:v>
                </c:pt>
                <c:pt idx="2">
                  <c:v>2065</c:v>
                </c:pt>
                <c:pt idx="3">
                  <c:v>2447</c:v>
                </c:pt>
                <c:pt idx="4">
                  <c:v>3006</c:v>
                </c:pt>
                <c:pt idx="5">
                  <c:v>3006.4705882352941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3869312"/>
        <c:axId val="194059008"/>
      </c:lineChart>
      <c:catAx>
        <c:axId val="1938693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4059008"/>
        <c:crosses val="autoZero"/>
        <c:auto val="1"/>
        <c:lblAlgn val="ctr"/>
        <c:lblOffset val="100"/>
        <c:noMultiLvlLbl val="0"/>
      </c:catAx>
      <c:valAx>
        <c:axId val="194059008"/>
        <c:scaling>
          <c:orientation val="minMax"/>
          <c:min val="1000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38693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marker>
            <c:symbol val="diamond"/>
            <c:size val="4"/>
          </c:marker>
          <c:dPt>
            <c:idx val="8"/>
            <c:marker>
              <c:spPr>
                <a:solidFill>
                  <a:srgbClr val="FF0000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cat>
            <c:strRef>
              <c:f>거제2구역!$B$73:$B$85</c:f>
              <c:strCache>
                <c:ptCount val="13"/>
                <c:pt idx="0">
                  <c:v>2018년</c:v>
                </c:pt>
                <c:pt idx="1">
                  <c:v>19년07월~19년09월</c:v>
                </c:pt>
                <c:pt idx="2">
                  <c:v>19년10월~19년12월</c:v>
                </c:pt>
                <c:pt idx="3">
                  <c:v>20년01월~20년03월</c:v>
                </c:pt>
                <c:pt idx="4">
                  <c:v>20년04월~20년06월</c:v>
                </c:pt>
                <c:pt idx="5">
                  <c:v>20년07월~20년09월</c:v>
                </c:pt>
                <c:pt idx="6">
                  <c:v>20년10월~20년12월</c:v>
                </c:pt>
                <c:pt idx="7">
                  <c:v>21년01월~21년03월</c:v>
                </c:pt>
                <c:pt idx="8">
                  <c:v>21년03월~21년06월</c:v>
                </c:pt>
                <c:pt idx="9">
                  <c:v>21년07월~21년09월</c:v>
                </c:pt>
                <c:pt idx="10">
                  <c:v>21년10월~21년12월</c:v>
                </c:pt>
                <c:pt idx="11">
                  <c:v>22년01월~22년03월</c:v>
                </c:pt>
                <c:pt idx="12">
                  <c:v>2026년(완공시)</c:v>
                </c:pt>
              </c:strCache>
            </c:strRef>
          </c:cat>
          <c:val>
            <c:numRef>
              <c:f>거제2구역!$C$73:$C$85</c:f>
              <c:numCache>
                <c:formatCode>0_);[Red]\(0\)</c:formatCode>
                <c:ptCount val="13"/>
                <c:pt idx="0">
                  <c:v>1026</c:v>
                </c:pt>
                <c:pt idx="1">
                  <c:v>1300</c:v>
                </c:pt>
                <c:pt idx="2">
                  <c:v>1600</c:v>
                </c:pt>
                <c:pt idx="3">
                  <c:v>2055</c:v>
                </c:pt>
                <c:pt idx="4">
                  <c:v>2350</c:v>
                </c:pt>
                <c:pt idx="5">
                  <c:v>3231</c:v>
                </c:pt>
                <c:pt idx="6">
                  <c:v>3945</c:v>
                </c:pt>
                <c:pt idx="7">
                  <c:v>3944.5588235294117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3868288"/>
        <c:axId val="194111168"/>
      </c:lineChart>
      <c:catAx>
        <c:axId val="193868288"/>
        <c:scaling>
          <c:orientation val="minMax"/>
        </c:scaling>
        <c:delete val="0"/>
        <c:axPos val="b"/>
        <c:numFmt formatCode="0_);[Red]\(0\)" sourceLinked="1"/>
        <c:majorTickMark val="out"/>
        <c:minorTickMark val="none"/>
        <c:tickLblPos val="nextTo"/>
        <c:crossAx val="194111168"/>
        <c:crosses val="autoZero"/>
        <c:auto val="1"/>
        <c:lblAlgn val="ctr"/>
        <c:lblOffset val="100"/>
        <c:noMultiLvlLbl val="0"/>
      </c:catAx>
      <c:valAx>
        <c:axId val="194111168"/>
        <c:scaling>
          <c:orientation val="minMax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38682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시민공원촉진3구역!$C$51</c:f>
              <c:strCache>
                <c:ptCount val="1"/>
                <c:pt idx="0">
                  <c:v>총구매평당가(만원)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diamond"/>
            <c:size val="4"/>
            <c:spPr>
              <a:solidFill>
                <a:schemeClr val="accent1"/>
              </a:solidFill>
            </c:spPr>
          </c:marker>
          <c:dPt>
            <c:idx val="8"/>
            <c:marker>
              <c:spPr>
                <a:solidFill>
                  <a:schemeClr val="accent1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cat>
            <c:strRef>
              <c:f>시민공원촉진3구역!$B$52:$B$62</c:f>
              <c:strCache>
                <c:ptCount val="11"/>
                <c:pt idx="0">
                  <c:v>2019년</c:v>
                </c:pt>
                <c:pt idx="1">
                  <c:v>20년01월~20년03월</c:v>
                </c:pt>
                <c:pt idx="2">
                  <c:v>20년04월~20년06월</c:v>
                </c:pt>
                <c:pt idx="3">
                  <c:v>20년07월~20년09월</c:v>
                </c:pt>
                <c:pt idx="4">
                  <c:v>20년10월~20년12월</c:v>
                </c:pt>
                <c:pt idx="5">
                  <c:v>21년01월~21년03월</c:v>
                </c:pt>
                <c:pt idx="6">
                  <c:v>21년04월~21년06월</c:v>
                </c:pt>
                <c:pt idx="7">
                  <c:v>21년07월~21년09월</c:v>
                </c:pt>
                <c:pt idx="8">
                  <c:v>21년10월~21년12월</c:v>
                </c:pt>
                <c:pt idx="9">
                  <c:v>22년01월~22년03월</c:v>
                </c:pt>
                <c:pt idx="10">
                  <c:v>2026년(완공시)</c:v>
                </c:pt>
              </c:strCache>
            </c:strRef>
          </c:cat>
          <c:val>
            <c:numRef>
              <c:f>시민공원촉진3구역!$C$52:$C$62</c:f>
              <c:numCache>
                <c:formatCode>0_);[Red]\(0\)</c:formatCode>
                <c:ptCount val="11"/>
                <c:pt idx="0">
                  <c:v>2000</c:v>
                </c:pt>
                <c:pt idx="1">
                  <c:v>2150</c:v>
                </c:pt>
                <c:pt idx="2">
                  <c:v>2500</c:v>
                </c:pt>
                <c:pt idx="3">
                  <c:v>2600</c:v>
                </c:pt>
                <c:pt idx="4">
                  <c:v>4116</c:v>
                </c:pt>
                <c:pt idx="5">
                  <c:v>4469.1235294117641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3871360"/>
        <c:axId val="194114048"/>
      </c:lineChart>
      <c:catAx>
        <c:axId val="1938713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4114048"/>
        <c:crosses val="autoZero"/>
        <c:auto val="1"/>
        <c:lblAlgn val="ctr"/>
        <c:lblOffset val="100"/>
        <c:noMultiLvlLbl val="0"/>
      </c:catAx>
      <c:valAx>
        <c:axId val="194114048"/>
        <c:scaling>
          <c:orientation val="minMax"/>
          <c:min val="1000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38713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시민공원촉진4구역!$C$54</c:f>
              <c:strCache>
                <c:ptCount val="1"/>
                <c:pt idx="0">
                  <c:v>총구매평당가(만원)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diamond"/>
            <c:size val="4"/>
            <c:spPr>
              <a:solidFill>
                <a:schemeClr val="accent1"/>
              </a:solidFill>
            </c:spPr>
          </c:marker>
          <c:dPt>
            <c:idx val="8"/>
            <c:marker>
              <c:spPr>
                <a:solidFill>
                  <a:schemeClr val="accent1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cat>
            <c:strRef>
              <c:f>시민공원촉진4구역!$B$55:$B$65</c:f>
              <c:strCache>
                <c:ptCount val="11"/>
                <c:pt idx="0">
                  <c:v>2019년</c:v>
                </c:pt>
                <c:pt idx="1">
                  <c:v>20년01월~20년03월</c:v>
                </c:pt>
                <c:pt idx="2">
                  <c:v>20년04월~20년06월</c:v>
                </c:pt>
                <c:pt idx="3">
                  <c:v>20년07월~20년09월</c:v>
                </c:pt>
                <c:pt idx="4">
                  <c:v>20년10월~20년12월</c:v>
                </c:pt>
                <c:pt idx="5">
                  <c:v>21년01월~21년03월</c:v>
                </c:pt>
                <c:pt idx="6">
                  <c:v>21년04월~21년06월</c:v>
                </c:pt>
                <c:pt idx="7">
                  <c:v>21년07월~21년09월</c:v>
                </c:pt>
                <c:pt idx="8">
                  <c:v>21년10월~21년12월</c:v>
                </c:pt>
                <c:pt idx="9">
                  <c:v>22년01월~22년03월</c:v>
                </c:pt>
                <c:pt idx="10">
                  <c:v>2026년(완공시)</c:v>
                </c:pt>
              </c:strCache>
            </c:strRef>
          </c:cat>
          <c:val>
            <c:numRef>
              <c:f>시민공원촉진4구역!$C$55:$C$65</c:f>
              <c:numCache>
                <c:formatCode>0_);[Red]\(0\)</c:formatCode>
                <c:ptCount val="11"/>
                <c:pt idx="0">
                  <c:v>1700</c:v>
                </c:pt>
                <c:pt idx="1">
                  <c:v>1710</c:v>
                </c:pt>
                <c:pt idx="2">
                  <c:v>2200</c:v>
                </c:pt>
                <c:pt idx="3">
                  <c:v>2300</c:v>
                </c:pt>
                <c:pt idx="4">
                  <c:v>3322</c:v>
                </c:pt>
                <c:pt idx="5">
                  <c:v>3086.7705882352939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3979904"/>
        <c:axId val="194822720"/>
      </c:lineChart>
      <c:catAx>
        <c:axId val="1939799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4822720"/>
        <c:crosses val="autoZero"/>
        <c:auto val="1"/>
        <c:lblAlgn val="ctr"/>
        <c:lblOffset val="100"/>
        <c:noMultiLvlLbl val="0"/>
      </c:catAx>
      <c:valAx>
        <c:axId val="194822720"/>
        <c:scaling>
          <c:orientation val="minMax"/>
          <c:min val="1000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397990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가야1구역!$C$55</c:f>
              <c:strCache>
                <c:ptCount val="1"/>
                <c:pt idx="0">
                  <c:v>평균 총구매 평당가(만원)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diamond"/>
            <c:size val="4"/>
            <c:spPr>
              <a:solidFill>
                <a:schemeClr val="accent1"/>
              </a:solidFill>
            </c:spPr>
          </c:marker>
          <c:dPt>
            <c:idx val="8"/>
            <c:marker>
              <c:spPr>
                <a:solidFill>
                  <a:schemeClr val="accent1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dPt>
            <c:idx val="12"/>
            <c:marker>
              <c:symbol val="diamond"/>
              <c:size val="8"/>
              <c:spPr>
                <a:solidFill>
                  <a:srgbClr val="FF0000"/>
                </a:solidFill>
              </c:spPr>
            </c:marker>
            <c:bubble3D val="0"/>
          </c:dPt>
          <c:cat>
            <c:strRef>
              <c:f>가야1구역!$B$56:$B$68</c:f>
              <c:strCache>
                <c:ptCount val="13"/>
                <c:pt idx="0">
                  <c:v>20년01월~20년03월</c:v>
                </c:pt>
                <c:pt idx="1">
                  <c:v>20년04월~20년06월</c:v>
                </c:pt>
                <c:pt idx="2">
                  <c:v>20년07월~20년09월</c:v>
                </c:pt>
                <c:pt idx="3">
                  <c:v>20년10월~20년12월</c:v>
                </c:pt>
                <c:pt idx="4">
                  <c:v>21년01월~21년03월</c:v>
                </c:pt>
                <c:pt idx="5">
                  <c:v>21년04월~21년06월</c:v>
                </c:pt>
                <c:pt idx="6">
                  <c:v>21년07월~21년09월</c:v>
                </c:pt>
                <c:pt idx="7">
                  <c:v>21년10월~21년12월</c:v>
                </c:pt>
                <c:pt idx="8">
                  <c:v>22년01월~22년03월</c:v>
                </c:pt>
                <c:pt idx="9">
                  <c:v>2023년</c:v>
                </c:pt>
                <c:pt idx="10">
                  <c:v>2024년</c:v>
                </c:pt>
                <c:pt idx="11">
                  <c:v>2025년</c:v>
                </c:pt>
                <c:pt idx="12">
                  <c:v>2029년(완공시)</c:v>
                </c:pt>
              </c:strCache>
            </c:strRef>
          </c:cat>
          <c:val>
            <c:numRef>
              <c:f>가야1구역!$C$56:$C$68</c:f>
              <c:numCache>
                <c:formatCode>0_);[Red]\(0\)</c:formatCode>
                <c:ptCount val="13"/>
                <c:pt idx="0">
                  <c:v>1970</c:v>
                </c:pt>
                <c:pt idx="1">
                  <c:v>2029</c:v>
                </c:pt>
                <c:pt idx="2">
                  <c:v>2088</c:v>
                </c:pt>
                <c:pt idx="3">
                  <c:v>2464</c:v>
                </c:pt>
                <c:pt idx="4">
                  <c:v>2699.6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4362880"/>
        <c:axId val="194826176"/>
      </c:lineChart>
      <c:catAx>
        <c:axId val="1943628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4826176"/>
        <c:crosses val="autoZero"/>
        <c:auto val="1"/>
        <c:lblAlgn val="ctr"/>
        <c:lblOffset val="100"/>
        <c:noMultiLvlLbl val="0"/>
      </c:catAx>
      <c:valAx>
        <c:axId val="194826176"/>
        <c:scaling>
          <c:orientation val="minMax"/>
          <c:min val="1000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43628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범천4구역!$C$59</c:f>
              <c:strCache>
                <c:ptCount val="1"/>
                <c:pt idx="0">
                  <c:v>총구매평당가(만원)</c:v>
                </c:pt>
              </c:strCache>
            </c:strRef>
          </c:tx>
          <c:dPt>
            <c:idx val="8"/>
            <c:marker>
              <c:spPr>
                <a:solidFill>
                  <a:srgbClr val="FF0000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dPt>
            <c:idx val="10"/>
            <c:marker>
              <c:spPr>
                <a:solidFill>
                  <a:srgbClr val="FF0000"/>
                </a:solidFill>
              </c:spPr>
            </c:marker>
            <c:bubble3D val="0"/>
          </c:dPt>
          <c:cat>
            <c:strRef>
              <c:f>범천4구역!$B$60:$B$70</c:f>
              <c:strCache>
                <c:ptCount val="11"/>
                <c:pt idx="0">
                  <c:v>19년07월~19년09월</c:v>
                </c:pt>
                <c:pt idx="1">
                  <c:v>19년10월~19년12월</c:v>
                </c:pt>
                <c:pt idx="2">
                  <c:v>20년01월~20년03월</c:v>
                </c:pt>
                <c:pt idx="3">
                  <c:v>20년04월~20년06월</c:v>
                </c:pt>
                <c:pt idx="4">
                  <c:v>20년07월~20년09월</c:v>
                </c:pt>
                <c:pt idx="5">
                  <c:v>20년10월~20년12월</c:v>
                </c:pt>
                <c:pt idx="6">
                  <c:v>21년01월~21년03월</c:v>
                </c:pt>
                <c:pt idx="7">
                  <c:v>21년04월~21년06월</c:v>
                </c:pt>
                <c:pt idx="8">
                  <c:v>21년07월~21년09월</c:v>
                </c:pt>
                <c:pt idx="9">
                  <c:v>21년10월~21년12월</c:v>
                </c:pt>
                <c:pt idx="10">
                  <c:v>2028년(완공시)</c:v>
                </c:pt>
              </c:strCache>
            </c:strRef>
          </c:cat>
          <c:val>
            <c:numRef>
              <c:f>범천4구역!$C$60:$C$70</c:f>
              <c:numCache>
                <c:formatCode>0_);[Red]\(0\)</c:formatCode>
                <c:ptCount val="11"/>
                <c:pt idx="0">
                  <c:v>1000</c:v>
                </c:pt>
                <c:pt idx="1">
                  <c:v>1100</c:v>
                </c:pt>
                <c:pt idx="2">
                  <c:v>1200</c:v>
                </c:pt>
                <c:pt idx="3">
                  <c:v>1335</c:v>
                </c:pt>
                <c:pt idx="4">
                  <c:v>2170</c:v>
                </c:pt>
                <c:pt idx="5">
                  <c:v>2738</c:v>
                </c:pt>
                <c:pt idx="6">
                  <c:v>2708.6411764705881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4516480"/>
        <c:axId val="194829632"/>
      </c:lineChart>
      <c:catAx>
        <c:axId val="194516480"/>
        <c:scaling>
          <c:orientation val="minMax"/>
        </c:scaling>
        <c:delete val="0"/>
        <c:axPos val="b"/>
        <c:majorTickMark val="out"/>
        <c:minorTickMark val="none"/>
        <c:tickLblPos val="nextTo"/>
        <c:crossAx val="194829632"/>
        <c:crosses val="autoZero"/>
        <c:auto val="1"/>
        <c:lblAlgn val="ctr"/>
        <c:lblOffset val="100"/>
        <c:noMultiLvlLbl val="0"/>
      </c:catAx>
      <c:valAx>
        <c:axId val="194829632"/>
        <c:scaling>
          <c:orientation val="minMax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451648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'범천1-1구역'!$C$69</c:f>
              <c:strCache>
                <c:ptCount val="1"/>
                <c:pt idx="0">
                  <c:v>총구매 평당가(만원)</c:v>
                </c:pt>
              </c:strCache>
            </c:strRef>
          </c:tx>
          <c:dPt>
            <c:idx val="8"/>
            <c:marker>
              <c:spPr>
                <a:solidFill>
                  <a:srgbClr val="FF0000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dPt>
            <c:idx val="10"/>
            <c:marker>
              <c:spPr>
                <a:solidFill>
                  <a:srgbClr val="FF0000"/>
                </a:solidFill>
              </c:spPr>
            </c:marker>
            <c:bubble3D val="0"/>
          </c:dPt>
          <c:cat>
            <c:strRef>
              <c:f>'범천1-1구역'!$B$70:$B$80</c:f>
              <c:strCache>
                <c:ptCount val="11"/>
                <c:pt idx="0">
                  <c:v>19년07월~19년09월</c:v>
                </c:pt>
                <c:pt idx="1">
                  <c:v>19년10월~19년12월</c:v>
                </c:pt>
                <c:pt idx="2">
                  <c:v>20년01월~20년03월</c:v>
                </c:pt>
                <c:pt idx="3">
                  <c:v>20년04월~20년06월</c:v>
                </c:pt>
                <c:pt idx="4">
                  <c:v>20년07월~20년09월</c:v>
                </c:pt>
                <c:pt idx="5">
                  <c:v>20년10월~20년12월</c:v>
                </c:pt>
                <c:pt idx="6">
                  <c:v>21년01월~21년03월</c:v>
                </c:pt>
                <c:pt idx="7">
                  <c:v>21년04월~21년06월</c:v>
                </c:pt>
                <c:pt idx="8">
                  <c:v>21년07월~21년09월</c:v>
                </c:pt>
                <c:pt idx="9">
                  <c:v>21년10월~21년12월</c:v>
                </c:pt>
                <c:pt idx="10">
                  <c:v>2027년(완공시)</c:v>
                </c:pt>
              </c:strCache>
            </c:strRef>
          </c:cat>
          <c:val>
            <c:numRef>
              <c:f>'범천1-1구역'!$C$70:$C$80</c:f>
              <c:numCache>
                <c:formatCode>0_);[Red]\(0\)</c:formatCode>
                <c:ptCount val="11"/>
                <c:pt idx="0">
                  <c:v>1400</c:v>
                </c:pt>
                <c:pt idx="1">
                  <c:v>1500</c:v>
                </c:pt>
                <c:pt idx="2">
                  <c:v>1600</c:v>
                </c:pt>
                <c:pt idx="3">
                  <c:v>1900</c:v>
                </c:pt>
                <c:pt idx="4">
                  <c:v>2300</c:v>
                </c:pt>
                <c:pt idx="5">
                  <c:v>2960</c:v>
                </c:pt>
                <c:pt idx="6">
                  <c:v>2960.455882352941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4515456"/>
        <c:axId val="194286656"/>
      </c:lineChart>
      <c:catAx>
        <c:axId val="194515456"/>
        <c:scaling>
          <c:orientation val="minMax"/>
        </c:scaling>
        <c:delete val="0"/>
        <c:axPos val="b"/>
        <c:majorTickMark val="out"/>
        <c:minorTickMark val="none"/>
        <c:tickLblPos val="nextTo"/>
        <c:crossAx val="194286656"/>
        <c:crosses val="autoZero"/>
        <c:auto val="1"/>
        <c:lblAlgn val="ctr"/>
        <c:lblOffset val="100"/>
        <c:noMultiLvlLbl val="0"/>
      </c:catAx>
      <c:valAx>
        <c:axId val="194286656"/>
        <c:scaling>
          <c:orientation val="minMax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451545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문현1구역!$C$73</c:f>
              <c:strCache>
                <c:ptCount val="1"/>
                <c:pt idx="0">
                  <c:v>총구매 평당가(만원)</c:v>
                </c:pt>
              </c:strCache>
            </c:strRef>
          </c:tx>
          <c:cat>
            <c:strRef>
              <c:f>문현1구역!$B$74:$B$83</c:f>
              <c:strCache>
                <c:ptCount val="10"/>
                <c:pt idx="0">
                  <c:v>2019년</c:v>
                </c:pt>
                <c:pt idx="1">
                  <c:v>20년01월~20년03월</c:v>
                </c:pt>
                <c:pt idx="2">
                  <c:v>20년04월~20년06월</c:v>
                </c:pt>
                <c:pt idx="3">
                  <c:v>20년07월~20년09월</c:v>
                </c:pt>
                <c:pt idx="4">
                  <c:v>20년10월~20년12월</c:v>
                </c:pt>
                <c:pt idx="5">
                  <c:v>21년01월~21년03월</c:v>
                </c:pt>
                <c:pt idx="6">
                  <c:v>21년04월~21년06월</c:v>
                </c:pt>
                <c:pt idx="7">
                  <c:v>21년07월~21년09월</c:v>
                </c:pt>
                <c:pt idx="8">
                  <c:v>21년10월~21년12월</c:v>
                </c:pt>
                <c:pt idx="9">
                  <c:v>2030년(준공시)</c:v>
                </c:pt>
              </c:strCache>
            </c:strRef>
          </c:cat>
          <c:val>
            <c:numRef>
              <c:f>문현1구역!$C$74:$C$83</c:f>
              <c:numCache>
                <c:formatCode>0_);[Red]\(0\)</c:formatCode>
                <c:ptCount val="10"/>
                <c:pt idx="0">
                  <c:v>1600</c:v>
                </c:pt>
                <c:pt idx="1">
                  <c:v>1650</c:v>
                </c:pt>
                <c:pt idx="2">
                  <c:v>1900</c:v>
                </c:pt>
                <c:pt idx="3">
                  <c:v>2000</c:v>
                </c:pt>
                <c:pt idx="4">
                  <c:v>3159</c:v>
                </c:pt>
                <c:pt idx="5">
                  <c:v>3070.8117647058821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4217984"/>
        <c:axId val="194306048"/>
      </c:lineChart>
      <c:catAx>
        <c:axId val="194217984"/>
        <c:scaling>
          <c:orientation val="minMax"/>
        </c:scaling>
        <c:delete val="0"/>
        <c:axPos val="b"/>
        <c:majorTickMark val="out"/>
        <c:minorTickMark val="none"/>
        <c:tickLblPos val="nextTo"/>
        <c:crossAx val="194306048"/>
        <c:crosses val="autoZero"/>
        <c:auto val="1"/>
        <c:lblAlgn val="ctr"/>
        <c:lblOffset val="100"/>
        <c:noMultiLvlLbl val="0"/>
      </c:catAx>
      <c:valAx>
        <c:axId val="194306048"/>
        <c:scaling>
          <c:orientation val="minMax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421798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문현3구역!$C$63</c:f>
              <c:strCache>
                <c:ptCount val="1"/>
                <c:pt idx="0">
                  <c:v>총구매 평당가(만원)</c:v>
                </c:pt>
              </c:strCache>
            </c:strRef>
          </c:tx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marker>
            <c:symbol val="diamond"/>
            <c:size val="4"/>
          </c:marker>
          <c:dPt>
            <c:idx val="8"/>
            <c:marker>
              <c:spPr>
                <a:solidFill>
                  <a:srgbClr val="FF0000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cat>
            <c:strRef>
              <c:f>복산1구역!$B$69:$B$81</c:f>
              <c:strCache>
                <c:ptCount val="13"/>
                <c:pt idx="0">
                  <c:v>2018년</c:v>
                </c:pt>
                <c:pt idx="1">
                  <c:v>19년07월~19년09월</c:v>
                </c:pt>
                <c:pt idx="2">
                  <c:v>19년10월~19년12월</c:v>
                </c:pt>
                <c:pt idx="3">
                  <c:v>20년01월~20년03월</c:v>
                </c:pt>
                <c:pt idx="4">
                  <c:v>20년04월~20년06월</c:v>
                </c:pt>
                <c:pt idx="5">
                  <c:v>20년07월~20년09월</c:v>
                </c:pt>
                <c:pt idx="6">
                  <c:v>20년10월~20년12월</c:v>
                </c:pt>
                <c:pt idx="7">
                  <c:v>21년01월~21년03월</c:v>
                </c:pt>
                <c:pt idx="8">
                  <c:v>21년03월~21년06월</c:v>
                </c:pt>
                <c:pt idx="9">
                  <c:v>21년07월~21년09월</c:v>
                </c:pt>
                <c:pt idx="10">
                  <c:v>21년10월~21년12월</c:v>
                </c:pt>
                <c:pt idx="11">
                  <c:v>22년01월~22년03월</c:v>
                </c:pt>
                <c:pt idx="12">
                  <c:v>2026년(완공시)</c:v>
                </c:pt>
              </c:strCache>
            </c:strRef>
          </c:cat>
          <c:val>
            <c:numRef>
              <c:f>문현3구역!$C$64:$C$74</c:f>
              <c:numCache>
                <c:formatCode>#,##0_ </c:formatCode>
                <c:ptCount val="11"/>
                <c:pt idx="0">
                  <c:v>1100</c:v>
                </c:pt>
                <c:pt idx="1">
                  <c:v>1300</c:v>
                </c:pt>
                <c:pt idx="2">
                  <c:v>1700</c:v>
                </c:pt>
                <c:pt idx="3">
                  <c:v>2058</c:v>
                </c:pt>
                <c:pt idx="4">
                  <c:v>2512</c:v>
                </c:pt>
                <c:pt idx="5">
                  <c:v>2335.5176470588235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문현3구역!$I$63</c:f>
              <c:strCache>
                <c:ptCount val="1"/>
              </c:strCache>
            </c:strRef>
          </c:tx>
          <c:spPr>
            <a:ln>
              <a:solidFill>
                <a:schemeClr val="accent6"/>
              </a:solidFill>
            </a:ln>
          </c:spPr>
          <c:marker>
            <c:symbol val="circle"/>
            <c:size val="4"/>
          </c:marker>
          <c:val>
            <c:numRef>
              <c:f>문현3구역!$I$64:$I$74</c:f>
              <c:numCache>
                <c:formatCode>General</c:formatCode>
                <c:ptCount val="11"/>
              </c:numCache>
            </c:numRef>
          </c:val>
          <c:smooth val="0"/>
        </c:ser>
        <c:ser>
          <c:idx val="2"/>
          <c:order val="2"/>
          <c:tx>
            <c:strRef>
              <c:f>문현3구역!$J$63</c:f>
              <c:strCache>
                <c:ptCount val="1"/>
              </c:strCache>
            </c:strRef>
          </c:tx>
          <c:spPr>
            <a:ln>
              <a:solidFill>
                <a:schemeClr val="bg1">
                  <a:lumMod val="65000"/>
                </a:schemeClr>
              </a:solidFill>
            </a:ln>
          </c:spPr>
          <c:marker>
            <c:symbol val="triangle"/>
            <c:size val="4"/>
          </c:marker>
          <c:val>
            <c:numRef>
              <c:f>문현3구역!$J$64:$J$74</c:f>
              <c:numCache>
                <c:formatCode>General</c:formatCode>
                <c:ptCount val="11"/>
              </c:numCache>
            </c:numRef>
          </c:val>
          <c:smooth val="0"/>
        </c:ser>
        <c:ser>
          <c:idx val="3"/>
          <c:order val="3"/>
          <c:tx>
            <c:strRef>
              <c:f>문현3구역!$K$63</c:f>
              <c:strCache>
                <c:ptCount val="1"/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x"/>
            <c:size val="4"/>
          </c:marker>
          <c:val>
            <c:numRef>
              <c:f>문현3구역!$K$64:$K$74</c:f>
              <c:numCache>
                <c:formatCode>General</c:formatCode>
                <c:ptCount val="11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4713088"/>
        <c:axId val="194308928"/>
      </c:lineChart>
      <c:catAx>
        <c:axId val="194713088"/>
        <c:scaling>
          <c:orientation val="minMax"/>
        </c:scaling>
        <c:delete val="0"/>
        <c:axPos val="b"/>
        <c:majorTickMark val="out"/>
        <c:minorTickMark val="none"/>
        <c:tickLblPos val="nextTo"/>
        <c:crossAx val="194308928"/>
        <c:crosses val="autoZero"/>
        <c:auto val="1"/>
        <c:lblAlgn val="ctr"/>
        <c:lblOffset val="100"/>
        <c:noMultiLvlLbl val="0"/>
      </c:catAx>
      <c:valAx>
        <c:axId val="194308928"/>
        <c:scaling>
          <c:orientation val="minMax"/>
        </c:scaling>
        <c:delete val="0"/>
        <c:axPos val="l"/>
        <c:majorGridlines/>
        <c:numFmt formatCode="#,##0_ " sourceLinked="1"/>
        <c:majorTickMark val="out"/>
        <c:minorTickMark val="none"/>
        <c:tickLblPos val="nextTo"/>
        <c:crossAx val="1947130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좌천범일통합2지구!$C$56</c:f>
              <c:strCache>
                <c:ptCount val="1"/>
                <c:pt idx="0">
                  <c:v>평균 총구매 평당가(만원)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diamond"/>
            <c:size val="4"/>
            <c:spPr>
              <a:solidFill>
                <a:schemeClr val="accent1"/>
              </a:solidFill>
            </c:spPr>
          </c:marker>
          <c:dPt>
            <c:idx val="8"/>
            <c:marker>
              <c:spPr>
                <a:solidFill>
                  <a:schemeClr val="accent1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dPt>
            <c:idx val="10"/>
            <c:marker>
              <c:spPr>
                <a:solidFill>
                  <a:srgbClr val="FF0000"/>
                </a:solidFill>
              </c:spPr>
            </c:marker>
            <c:bubble3D val="0"/>
          </c:dPt>
          <c:cat>
            <c:strRef>
              <c:f>좌천범일통합2지구!$B$57:$B$67</c:f>
              <c:strCache>
                <c:ptCount val="11"/>
                <c:pt idx="0">
                  <c:v>2019년</c:v>
                </c:pt>
                <c:pt idx="1">
                  <c:v>20년04월~20년06월</c:v>
                </c:pt>
                <c:pt idx="2">
                  <c:v>20년07월~20년09월</c:v>
                </c:pt>
                <c:pt idx="3">
                  <c:v>20년10월~20년12월</c:v>
                </c:pt>
                <c:pt idx="4">
                  <c:v>21년01월~21년03월</c:v>
                </c:pt>
                <c:pt idx="5">
                  <c:v>21년04월~21년06월</c:v>
                </c:pt>
                <c:pt idx="6">
                  <c:v>21년07월~21년09월</c:v>
                </c:pt>
                <c:pt idx="7">
                  <c:v>21년10월~21년12월</c:v>
                </c:pt>
                <c:pt idx="8">
                  <c:v>2022년</c:v>
                </c:pt>
                <c:pt idx="9">
                  <c:v>2023년</c:v>
                </c:pt>
                <c:pt idx="10">
                  <c:v>2030년 준공예정</c:v>
                </c:pt>
              </c:strCache>
            </c:strRef>
          </c:cat>
          <c:val>
            <c:numRef>
              <c:f>좌천범일통합2지구!$C$57:$C$67</c:f>
              <c:numCache>
                <c:formatCode>0_);[Red]\(0\)</c:formatCode>
                <c:ptCount val="11"/>
                <c:pt idx="0">
                  <c:v>1300</c:v>
                </c:pt>
                <c:pt idx="1">
                  <c:v>1600</c:v>
                </c:pt>
                <c:pt idx="2">
                  <c:v>1800</c:v>
                </c:pt>
                <c:pt idx="3">
                  <c:v>2383</c:v>
                </c:pt>
                <c:pt idx="4">
                  <c:v>2559.6235294117646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4715136"/>
        <c:axId val="194312384"/>
      </c:lineChart>
      <c:catAx>
        <c:axId val="1947151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4312384"/>
        <c:crosses val="autoZero"/>
        <c:auto val="1"/>
        <c:lblAlgn val="ctr"/>
        <c:lblOffset val="100"/>
        <c:noMultiLvlLbl val="0"/>
      </c:catAx>
      <c:valAx>
        <c:axId val="194312384"/>
        <c:scaling>
          <c:orientation val="minMax"/>
          <c:min val="1000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47151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초량2구역!$C$58</c:f>
              <c:strCache>
                <c:ptCount val="1"/>
                <c:pt idx="0">
                  <c:v>평균 총구매 평당가(만원)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diamond"/>
            <c:size val="4"/>
            <c:spPr>
              <a:solidFill>
                <a:schemeClr val="accent1"/>
              </a:solidFill>
            </c:spPr>
          </c:marker>
          <c:dPt>
            <c:idx val="8"/>
            <c:marker>
              <c:spPr>
                <a:solidFill>
                  <a:schemeClr val="accent1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dPt>
            <c:idx val="12"/>
            <c:marker>
              <c:symbol val="diamond"/>
              <c:size val="8"/>
              <c:spPr>
                <a:solidFill>
                  <a:srgbClr val="FF0000"/>
                </a:solidFill>
              </c:spPr>
            </c:marker>
            <c:bubble3D val="0"/>
          </c:dPt>
          <c:cat>
            <c:strRef>
              <c:f>초량2구역!$B$59:$B$71</c:f>
              <c:strCache>
                <c:ptCount val="13"/>
                <c:pt idx="0">
                  <c:v>20년01월~20년03월</c:v>
                </c:pt>
                <c:pt idx="1">
                  <c:v>20년04월~20년06월</c:v>
                </c:pt>
                <c:pt idx="2">
                  <c:v>20년07월~20년09월</c:v>
                </c:pt>
                <c:pt idx="3">
                  <c:v>20년10월~20년12월</c:v>
                </c:pt>
                <c:pt idx="4">
                  <c:v>21년01월~21년03월</c:v>
                </c:pt>
                <c:pt idx="5">
                  <c:v>21년04월~21년06월</c:v>
                </c:pt>
                <c:pt idx="6">
                  <c:v>21년07월~21년09월</c:v>
                </c:pt>
                <c:pt idx="7">
                  <c:v>21년10월~21년12월</c:v>
                </c:pt>
                <c:pt idx="8">
                  <c:v>22년01월~22년03월</c:v>
                </c:pt>
                <c:pt idx="9">
                  <c:v>22년04월~22년06월</c:v>
                </c:pt>
                <c:pt idx="10">
                  <c:v>22년07월~22년09월</c:v>
                </c:pt>
                <c:pt idx="11">
                  <c:v>22년10월~22년12월</c:v>
                </c:pt>
                <c:pt idx="12">
                  <c:v>2029년(완공시)</c:v>
                </c:pt>
              </c:strCache>
            </c:strRef>
          </c:cat>
          <c:val>
            <c:numRef>
              <c:f>초량2구역!$C$59:$C$71</c:f>
              <c:numCache>
                <c:formatCode>0_);[Red]\(0\)</c:formatCode>
                <c:ptCount val="13"/>
                <c:pt idx="0">
                  <c:v>1100</c:v>
                </c:pt>
                <c:pt idx="1">
                  <c:v>1400</c:v>
                </c:pt>
                <c:pt idx="2">
                  <c:v>1400</c:v>
                </c:pt>
                <c:pt idx="3">
                  <c:v>2217</c:v>
                </c:pt>
                <c:pt idx="4">
                  <c:v>2040.7235294117647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5385344"/>
        <c:axId val="193121088"/>
      </c:lineChart>
      <c:catAx>
        <c:axId val="195385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3121088"/>
        <c:crosses val="autoZero"/>
        <c:auto val="1"/>
        <c:lblAlgn val="ctr"/>
        <c:lblOffset val="100"/>
        <c:noMultiLvlLbl val="0"/>
      </c:catAx>
      <c:valAx>
        <c:axId val="193121088"/>
        <c:scaling>
          <c:orientation val="minMax"/>
          <c:min val="1000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538534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초량3구역!$C$54</c:f>
              <c:strCache>
                <c:ptCount val="1"/>
                <c:pt idx="0">
                  <c:v>평균 총구매 평당가(만원)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diamond"/>
            <c:size val="4"/>
            <c:spPr>
              <a:solidFill>
                <a:schemeClr val="accent1"/>
              </a:solidFill>
            </c:spPr>
          </c:marker>
          <c:dPt>
            <c:idx val="8"/>
            <c:marker>
              <c:spPr>
                <a:solidFill>
                  <a:schemeClr val="accent1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dPt>
            <c:idx val="12"/>
            <c:marker>
              <c:symbol val="diamond"/>
              <c:size val="8"/>
              <c:spPr>
                <a:solidFill>
                  <a:srgbClr val="FF0000"/>
                </a:solidFill>
              </c:spPr>
            </c:marker>
            <c:bubble3D val="0"/>
          </c:dPt>
          <c:cat>
            <c:strRef>
              <c:f>초량3구역!$B$55:$B$67</c:f>
              <c:strCache>
                <c:ptCount val="13"/>
                <c:pt idx="0">
                  <c:v>20년01월~20년03월</c:v>
                </c:pt>
                <c:pt idx="1">
                  <c:v>20년04월~20년06월</c:v>
                </c:pt>
                <c:pt idx="2">
                  <c:v>20년07월~20년09월</c:v>
                </c:pt>
                <c:pt idx="3">
                  <c:v>20년10월~20년12월</c:v>
                </c:pt>
                <c:pt idx="4">
                  <c:v>21년01월~21년03월</c:v>
                </c:pt>
                <c:pt idx="5">
                  <c:v>21년04월~21년06월</c:v>
                </c:pt>
                <c:pt idx="6">
                  <c:v>21년07월~21년09월</c:v>
                </c:pt>
                <c:pt idx="7">
                  <c:v>21년10월~21년12월</c:v>
                </c:pt>
                <c:pt idx="8">
                  <c:v>22년01월~22년03월</c:v>
                </c:pt>
                <c:pt idx="9">
                  <c:v>22년04월~22년06월</c:v>
                </c:pt>
                <c:pt idx="10">
                  <c:v>22년07월~22년09월</c:v>
                </c:pt>
                <c:pt idx="11">
                  <c:v>22년10월~22년12월</c:v>
                </c:pt>
                <c:pt idx="12">
                  <c:v>2029년(완공시)</c:v>
                </c:pt>
              </c:strCache>
            </c:strRef>
          </c:cat>
          <c:val>
            <c:numRef>
              <c:f>초량3구역!$C$55:$C$67</c:f>
              <c:numCache>
                <c:formatCode>0_);[Red]\(0\)</c:formatCode>
                <c:ptCount val="13"/>
                <c:pt idx="0">
                  <c:v>1350</c:v>
                </c:pt>
                <c:pt idx="1">
                  <c:v>1600</c:v>
                </c:pt>
                <c:pt idx="2">
                  <c:v>1900</c:v>
                </c:pt>
                <c:pt idx="3">
                  <c:v>2364</c:v>
                </c:pt>
                <c:pt idx="4">
                  <c:v>2393.6647058823528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5760128"/>
        <c:axId val="193125120"/>
      </c:lineChart>
      <c:catAx>
        <c:axId val="1957601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3125120"/>
        <c:crosses val="autoZero"/>
        <c:auto val="1"/>
        <c:lblAlgn val="ctr"/>
        <c:lblOffset val="100"/>
        <c:noMultiLvlLbl val="0"/>
      </c:catAx>
      <c:valAx>
        <c:axId val="193125120"/>
        <c:scaling>
          <c:orientation val="minMax"/>
          <c:min val="1000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57601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평균</c:v>
          </c:tx>
          <c:dPt>
            <c:idx val="8"/>
            <c:marker>
              <c:spPr>
                <a:solidFill>
                  <a:srgbClr val="FF0000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cat>
            <c:strRef>
              <c:f>괴정5구역!$B$86:$B$95</c:f>
              <c:strCache>
                <c:ptCount val="10"/>
                <c:pt idx="0">
                  <c:v>2019년</c:v>
                </c:pt>
                <c:pt idx="1">
                  <c:v>20년01월~20년03월</c:v>
                </c:pt>
                <c:pt idx="2">
                  <c:v>20년04월~20년06월</c:v>
                </c:pt>
                <c:pt idx="3">
                  <c:v>20년07월~20년09월</c:v>
                </c:pt>
                <c:pt idx="4">
                  <c:v>20년10월~20년12월</c:v>
                </c:pt>
                <c:pt idx="5">
                  <c:v>21년01월~21년03월</c:v>
                </c:pt>
                <c:pt idx="6">
                  <c:v>21년04월~21년05월</c:v>
                </c:pt>
                <c:pt idx="7">
                  <c:v>21년06월~21년09월</c:v>
                </c:pt>
                <c:pt idx="8">
                  <c:v>21년10월~21년12월</c:v>
                </c:pt>
                <c:pt idx="9">
                  <c:v>2027년(완공시)</c:v>
                </c:pt>
              </c:strCache>
            </c:strRef>
          </c:cat>
          <c:val>
            <c:numRef>
              <c:f>괴정5구역!$C$86:$C$95</c:f>
              <c:numCache>
                <c:formatCode>0_);[Red]\(0\)</c:formatCode>
                <c:ptCount val="10"/>
                <c:pt idx="0">
                  <c:v>1329</c:v>
                </c:pt>
                <c:pt idx="1">
                  <c:v>1404</c:v>
                </c:pt>
                <c:pt idx="2">
                  <c:v>1580</c:v>
                </c:pt>
                <c:pt idx="3">
                  <c:v>1600</c:v>
                </c:pt>
                <c:pt idx="4">
                  <c:v>1984</c:v>
                </c:pt>
                <c:pt idx="5">
                  <c:v>1992.6764705882351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괴정5구역!$I$85</c:f>
              <c:strCache>
                <c:ptCount val="1"/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circle"/>
            <c:size val="4"/>
          </c:marker>
          <c:val>
            <c:numRef>
              <c:f>괴정5구역!$I$86:$I$95</c:f>
              <c:numCache>
                <c:formatCode>General</c:formatCode>
                <c:ptCount val="10"/>
              </c:numCache>
            </c:numRef>
          </c:val>
          <c:smooth val="0"/>
        </c:ser>
        <c:ser>
          <c:idx val="2"/>
          <c:order val="2"/>
          <c:tx>
            <c:strRef>
              <c:f>괴정5구역!$J$85</c:f>
              <c:strCache>
                <c:ptCount val="1"/>
              </c:strCache>
            </c:strRef>
          </c:tx>
          <c:spPr>
            <a:ln>
              <a:solidFill>
                <a:schemeClr val="bg1">
                  <a:lumMod val="65000"/>
                </a:schemeClr>
              </a:solidFill>
            </a:ln>
          </c:spPr>
          <c:marker>
            <c:symbol val="triangle"/>
            <c:size val="4"/>
          </c:marker>
          <c:val>
            <c:numRef>
              <c:f>괴정5구역!$J$86:$J$95</c:f>
              <c:numCache>
                <c:formatCode>General</c:formatCode>
                <c:ptCount val="10"/>
              </c:numCache>
            </c:numRef>
          </c:val>
          <c:smooth val="0"/>
        </c:ser>
        <c:ser>
          <c:idx val="3"/>
          <c:order val="3"/>
          <c:tx>
            <c:strRef>
              <c:f>괴정5구역!$K$85</c:f>
              <c:strCache>
                <c:ptCount val="1"/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x"/>
            <c:size val="4"/>
          </c:marker>
          <c:val>
            <c:numRef>
              <c:f>괴정5구역!$K$86:$K$95</c:f>
              <c:numCache>
                <c:formatCode>General</c:formatCode>
                <c:ptCount val="1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5762176"/>
        <c:axId val="195128128"/>
      </c:lineChart>
      <c:catAx>
        <c:axId val="195762176"/>
        <c:scaling>
          <c:orientation val="minMax"/>
        </c:scaling>
        <c:delete val="0"/>
        <c:axPos val="b"/>
        <c:majorTickMark val="out"/>
        <c:minorTickMark val="none"/>
        <c:tickLblPos val="nextTo"/>
        <c:crossAx val="195128128"/>
        <c:crosses val="autoZero"/>
        <c:auto val="1"/>
        <c:lblAlgn val="ctr"/>
        <c:lblOffset val="100"/>
        <c:noMultiLvlLbl val="0"/>
      </c:catAx>
      <c:valAx>
        <c:axId val="195128128"/>
        <c:scaling>
          <c:orientation val="minMax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576217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v>평균</c:v>
          </c:tx>
          <c:dPt>
            <c:idx val="8"/>
            <c:marker>
              <c:spPr>
                <a:solidFill>
                  <a:srgbClr val="FF0000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cat>
            <c:strRef>
              <c:f>괴정6구역!$B$47:$B$56</c:f>
              <c:strCache>
                <c:ptCount val="10"/>
                <c:pt idx="0">
                  <c:v>20년10월~20년12월</c:v>
                </c:pt>
                <c:pt idx="1">
                  <c:v>21년01월~21년03월</c:v>
                </c:pt>
                <c:pt idx="2">
                  <c:v>21년04월~21년05월</c:v>
                </c:pt>
                <c:pt idx="3">
                  <c:v>21년06월~21년09월</c:v>
                </c:pt>
                <c:pt idx="4">
                  <c:v>21년10월~21년12월</c:v>
                </c:pt>
                <c:pt idx="5">
                  <c:v>22년01월~22년03월</c:v>
                </c:pt>
                <c:pt idx="6">
                  <c:v>22년04월~22년05월</c:v>
                </c:pt>
                <c:pt idx="7">
                  <c:v>22년06월~22년09월</c:v>
                </c:pt>
                <c:pt idx="8">
                  <c:v>22년10월~22년12월</c:v>
                </c:pt>
                <c:pt idx="9">
                  <c:v>2032년(완공시)</c:v>
                </c:pt>
              </c:strCache>
            </c:strRef>
          </c:cat>
          <c:val>
            <c:numRef>
              <c:f>괴정6구역!$C$47:$C$56</c:f>
              <c:numCache>
                <c:formatCode>0_);[Red]\(0\)</c:formatCode>
                <c:ptCount val="10"/>
                <c:pt idx="0">
                  <c:v>1764.129411764706</c:v>
                </c:pt>
                <c:pt idx="1">
                  <c:v>1764.129411764706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괴정6구역!$I$46</c:f>
              <c:strCache>
                <c:ptCount val="1"/>
              </c:strCache>
            </c:strRef>
          </c:tx>
          <c:spPr>
            <a:ln>
              <a:solidFill>
                <a:schemeClr val="accent6">
                  <a:lumMod val="75000"/>
                </a:schemeClr>
              </a:solidFill>
            </a:ln>
          </c:spPr>
          <c:marker>
            <c:symbol val="circle"/>
            <c:size val="4"/>
          </c:marker>
          <c:val>
            <c:numRef>
              <c:f>괴정6구역!$I$47:$I$56</c:f>
              <c:numCache>
                <c:formatCode>General</c:formatCode>
                <c:ptCount val="10"/>
              </c:numCache>
            </c:numRef>
          </c:val>
          <c:smooth val="0"/>
        </c:ser>
        <c:ser>
          <c:idx val="2"/>
          <c:order val="2"/>
          <c:tx>
            <c:strRef>
              <c:f>괴정6구역!$J$46</c:f>
              <c:strCache>
                <c:ptCount val="1"/>
              </c:strCache>
            </c:strRef>
          </c:tx>
          <c:spPr>
            <a:ln>
              <a:solidFill>
                <a:schemeClr val="bg1">
                  <a:lumMod val="65000"/>
                </a:schemeClr>
              </a:solidFill>
            </a:ln>
          </c:spPr>
          <c:marker>
            <c:symbol val="triangle"/>
            <c:size val="4"/>
          </c:marker>
          <c:val>
            <c:numRef>
              <c:f>괴정6구역!$J$47:$J$56</c:f>
              <c:numCache>
                <c:formatCode>General</c:formatCode>
                <c:ptCount val="10"/>
              </c:numCache>
            </c:numRef>
          </c:val>
          <c:smooth val="0"/>
        </c:ser>
        <c:ser>
          <c:idx val="3"/>
          <c:order val="3"/>
          <c:tx>
            <c:strRef>
              <c:f>괴정6구역!$K$46</c:f>
              <c:strCache>
                <c:ptCount val="1"/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x"/>
            <c:size val="4"/>
          </c:marker>
          <c:val>
            <c:numRef>
              <c:f>괴정6구역!$K$47:$K$56</c:f>
              <c:numCache>
                <c:formatCode>General</c:formatCode>
                <c:ptCount val="1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5383808"/>
        <c:axId val="195131584"/>
      </c:lineChart>
      <c:catAx>
        <c:axId val="195383808"/>
        <c:scaling>
          <c:orientation val="minMax"/>
        </c:scaling>
        <c:delete val="0"/>
        <c:axPos val="b"/>
        <c:majorTickMark val="out"/>
        <c:minorTickMark val="none"/>
        <c:tickLblPos val="nextTo"/>
        <c:crossAx val="195131584"/>
        <c:crosses val="autoZero"/>
        <c:auto val="1"/>
        <c:lblAlgn val="ctr"/>
        <c:lblOffset val="100"/>
        <c:noMultiLvlLbl val="0"/>
      </c:catAx>
      <c:valAx>
        <c:axId val="195131584"/>
        <c:scaling>
          <c:orientation val="minMax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53838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dPt>
            <c:idx val="8"/>
            <c:marker>
              <c:spPr>
                <a:solidFill>
                  <a:srgbClr val="FF0000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cat>
            <c:strRef>
              <c:f>엄궁3구역!$B$52:$B$61</c:f>
              <c:strCache>
                <c:ptCount val="10"/>
                <c:pt idx="0">
                  <c:v>2019년</c:v>
                </c:pt>
                <c:pt idx="1">
                  <c:v>20년01월~20년03월</c:v>
                </c:pt>
                <c:pt idx="2">
                  <c:v>20년04월~20년06월</c:v>
                </c:pt>
                <c:pt idx="3">
                  <c:v>20년07월~20년09월</c:v>
                </c:pt>
                <c:pt idx="4">
                  <c:v>20년10월~20년12월</c:v>
                </c:pt>
                <c:pt idx="5">
                  <c:v>21년01월~21년03월</c:v>
                </c:pt>
                <c:pt idx="6">
                  <c:v>21년04월~21년05월</c:v>
                </c:pt>
                <c:pt idx="7">
                  <c:v>21년06월~21년09월</c:v>
                </c:pt>
                <c:pt idx="8">
                  <c:v>21년10월~21년12월</c:v>
                </c:pt>
                <c:pt idx="9">
                  <c:v>2027년(완공시)</c:v>
                </c:pt>
              </c:strCache>
            </c:strRef>
          </c:cat>
          <c:val>
            <c:numRef>
              <c:f>엄궁3구역!$C$52:$C$61</c:f>
              <c:numCache>
                <c:formatCode>0_);[Red]\(0\)</c:formatCode>
                <c:ptCount val="10"/>
                <c:pt idx="0">
                  <c:v>1120</c:v>
                </c:pt>
                <c:pt idx="1">
                  <c:v>1127</c:v>
                </c:pt>
                <c:pt idx="2">
                  <c:v>1127</c:v>
                </c:pt>
                <c:pt idx="3">
                  <c:v>1127</c:v>
                </c:pt>
                <c:pt idx="4">
                  <c:v>1128</c:v>
                </c:pt>
                <c:pt idx="5">
                  <c:v>1127.7880647058823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5618816"/>
        <c:axId val="196429504"/>
      </c:lineChart>
      <c:catAx>
        <c:axId val="195618816"/>
        <c:scaling>
          <c:orientation val="minMax"/>
        </c:scaling>
        <c:delete val="0"/>
        <c:axPos val="b"/>
        <c:majorTickMark val="out"/>
        <c:minorTickMark val="none"/>
        <c:tickLblPos val="nextTo"/>
        <c:crossAx val="196429504"/>
        <c:crosses val="autoZero"/>
        <c:auto val="1"/>
        <c:lblAlgn val="ctr"/>
        <c:lblOffset val="100"/>
        <c:noMultiLvlLbl val="0"/>
      </c:catAx>
      <c:valAx>
        <c:axId val="196429504"/>
        <c:scaling>
          <c:orientation val="minMax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56188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부곡2구역!$C$63</c:f>
              <c:strCache>
                <c:ptCount val="1"/>
                <c:pt idx="0">
                  <c:v>평균 총구매 평당가(만원)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diamond"/>
            <c:size val="4"/>
            <c:spPr>
              <a:solidFill>
                <a:schemeClr val="accent1"/>
              </a:solidFill>
            </c:spPr>
          </c:marker>
          <c:dPt>
            <c:idx val="8"/>
            <c:marker>
              <c:spPr>
                <a:solidFill>
                  <a:schemeClr val="accent1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dPt>
            <c:idx val="12"/>
            <c:marker>
              <c:symbol val="diamond"/>
              <c:size val="8"/>
              <c:spPr>
                <a:solidFill>
                  <a:srgbClr val="FF0000"/>
                </a:solidFill>
              </c:spPr>
            </c:marker>
            <c:bubble3D val="0"/>
          </c:dPt>
          <c:cat>
            <c:strRef>
              <c:f>부곡2구역!$B$64:$B$76</c:f>
              <c:strCache>
                <c:ptCount val="13"/>
                <c:pt idx="0">
                  <c:v>20년01월~20년03월</c:v>
                </c:pt>
                <c:pt idx="1">
                  <c:v>20년04월~20년06월</c:v>
                </c:pt>
                <c:pt idx="2">
                  <c:v>20년07월~20년09월</c:v>
                </c:pt>
                <c:pt idx="3">
                  <c:v>20년10월~20년12월</c:v>
                </c:pt>
                <c:pt idx="4">
                  <c:v>21년01월~21년03월</c:v>
                </c:pt>
                <c:pt idx="5">
                  <c:v>21년04월~21년06월</c:v>
                </c:pt>
                <c:pt idx="6">
                  <c:v>21년07월~21년09월</c:v>
                </c:pt>
                <c:pt idx="7">
                  <c:v>21년10월~21년12월</c:v>
                </c:pt>
                <c:pt idx="8">
                  <c:v>22년01월~22년03월</c:v>
                </c:pt>
                <c:pt idx="9">
                  <c:v>22년04월~22년06월</c:v>
                </c:pt>
                <c:pt idx="10">
                  <c:v>22년07월~22년09월</c:v>
                </c:pt>
                <c:pt idx="11">
                  <c:v>22년10월~22년12월</c:v>
                </c:pt>
                <c:pt idx="12">
                  <c:v>2029년(완공시)</c:v>
                </c:pt>
              </c:strCache>
            </c:strRef>
          </c:cat>
          <c:val>
            <c:numRef>
              <c:f>부곡2구역!$C$64:$C$76</c:f>
              <c:numCache>
                <c:formatCode>0_);[Red]\(0\)</c:formatCode>
                <c:ptCount val="13"/>
                <c:pt idx="0">
                  <c:v>1900</c:v>
                </c:pt>
                <c:pt idx="1">
                  <c:v>2000</c:v>
                </c:pt>
                <c:pt idx="2">
                  <c:v>2591</c:v>
                </c:pt>
                <c:pt idx="3">
                  <c:v>3428</c:v>
                </c:pt>
                <c:pt idx="4">
                  <c:v>3408.7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5606016"/>
        <c:axId val="196432384"/>
      </c:lineChart>
      <c:catAx>
        <c:axId val="1956060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6432384"/>
        <c:crosses val="autoZero"/>
        <c:auto val="1"/>
        <c:lblAlgn val="ctr"/>
        <c:lblOffset val="100"/>
        <c:noMultiLvlLbl val="0"/>
      </c:catAx>
      <c:valAx>
        <c:axId val="196432384"/>
        <c:scaling>
          <c:orientation val="minMax"/>
          <c:min val="1000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560601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범일2구역!$C$53</c:f>
              <c:strCache>
                <c:ptCount val="1"/>
                <c:pt idx="0">
                  <c:v>총구매 평당가(만원)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diamond"/>
            <c:size val="4"/>
            <c:spPr>
              <a:solidFill>
                <a:schemeClr val="accent1"/>
              </a:solidFill>
            </c:spPr>
          </c:marker>
          <c:dPt>
            <c:idx val="8"/>
            <c:marker>
              <c:spPr>
                <a:solidFill>
                  <a:schemeClr val="accent1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dPt>
            <c:idx val="12"/>
            <c:marker>
              <c:symbol val="diamond"/>
              <c:size val="8"/>
              <c:spPr>
                <a:solidFill>
                  <a:srgbClr val="FF0000"/>
                </a:solidFill>
              </c:spPr>
            </c:marker>
            <c:bubble3D val="0"/>
          </c:dPt>
          <c:cat>
            <c:strRef>
              <c:f>범일2구역!$B$54:$B$66</c:f>
              <c:strCache>
                <c:ptCount val="13"/>
                <c:pt idx="0">
                  <c:v>20년01월~20년03월</c:v>
                </c:pt>
                <c:pt idx="1">
                  <c:v>20년04월~20년06월</c:v>
                </c:pt>
                <c:pt idx="2">
                  <c:v>20년07월~20년09월</c:v>
                </c:pt>
                <c:pt idx="3">
                  <c:v>20년10월~20년12월</c:v>
                </c:pt>
                <c:pt idx="4">
                  <c:v>21년01월~21년03월</c:v>
                </c:pt>
                <c:pt idx="5">
                  <c:v>21년04월~21년06월</c:v>
                </c:pt>
                <c:pt idx="6">
                  <c:v>21년07월~21년09월</c:v>
                </c:pt>
                <c:pt idx="7">
                  <c:v>21년10월~21년12월</c:v>
                </c:pt>
                <c:pt idx="8">
                  <c:v>22년01월~22년03월</c:v>
                </c:pt>
                <c:pt idx="9">
                  <c:v>22년04월~22년06월</c:v>
                </c:pt>
                <c:pt idx="10">
                  <c:v>22년07월~22년09월</c:v>
                </c:pt>
                <c:pt idx="11">
                  <c:v>22년10월~22년12월</c:v>
                </c:pt>
                <c:pt idx="12">
                  <c:v>2030년(완공시)</c:v>
                </c:pt>
              </c:strCache>
            </c:strRef>
          </c:cat>
          <c:val>
            <c:numRef>
              <c:f>범일2구역!$C$54:$C$66</c:f>
              <c:numCache>
                <c:formatCode>0_);[Red]\(0\)</c:formatCode>
                <c:ptCount val="13"/>
                <c:pt idx="0">
                  <c:v>2000</c:v>
                </c:pt>
                <c:pt idx="1">
                  <c:v>2600</c:v>
                </c:pt>
                <c:pt idx="2">
                  <c:v>2600</c:v>
                </c:pt>
                <c:pt idx="3">
                  <c:v>2571</c:v>
                </c:pt>
                <c:pt idx="4">
                  <c:v>2570.8117647058821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5265024"/>
        <c:axId val="196034560"/>
      </c:lineChart>
      <c:catAx>
        <c:axId val="1952650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6034560"/>
        <c:crosses val="autoZero"/>
        <c:auto val="1"/>
        <c:lblAlgn val="ctr"/>
        <c:lblOffset val="100"/>
        <c:noMultiLvlLbl val="0"/>
      </c:catAx>
      <c:valAx>
        <c:axId val="196034560"/>
        <c:scaling>
          <c:orientation val="minMax"/>
          <c:min val="1000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52650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망미2구역!$C$59</c:f>
              <c:strCache>
                <c:ptCount val="1"/>
                <c:pt idx="0">
                  <c:v>총구매 평당가(만원)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diamond"/>
            <c:size val="4"/>
            <c:spPr>
              <a:solidFill>
                <a:schemeClr val="accent1"/>
              </a:solidFill>
            </c:spPr>
          </c:marker>
          <c:dPt>
            <c:idx val="8"/>
            <c:marker>
              <c:spPr>
                <a:solidFill>
                  <a:schemeClr val="accent1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dPt>
            <c:idx val="12"/>
            <c:marker>
              <c:symbol val="diamond"/>
              <c:size val="8"/>
              <c:spPr>
                <a:solidFill>
                  <a:srgbClr val="FF0000"/>
                </a:solidFill>
              </c:spPr>
            </c:marker>
            <c:bubble3D val="0"/>
          </c:dPt>
          <c:cat>
            <c:strRef>
              <c:f>망미2구역!$B$60:$B$72</c:f>
              <c:strCache>
                <c:ptCount val="13"/>
                <c:pt idx="0">
                  <c:v>20년01월~20년03월</c:v>
                </c:pt>
                <c:pt idx="1">
                  <c:v>20년04월~20년06월</c:v>
                </c:pt>
                <c:pt idx="2">
                  <c:v>20년07월~20년09월</c:v>
                </c:pt>
                <c:pt idx="3">
                  <c:v>20년10월~20년12월</c:v>
                </c:pt>
                <c:pt idx="4">
                  <c:v>21년01월~21년03월</c:v>
                </c:pt>
                <c:pt idx="5">
                  <c:v>21년04월~21년06월</c:v>
                </c:pt>
                <c:pt idx="6">
                  <c:v>21년07월~21년09월</c:v>
                </c:pt>
                <c:pt idx="7">
                  <c:v>21년10월~21년12월</c:v>
                </c:pt>
                <c:pt idx="8">
                  <c:v>22년01월~22년03월</c:v>
                </c:pt>
                <c:pt idx="9">
                  <c:v>22년04월~22년06월</c:v>
                </c:pt>
                <c:pt idx="10">
                  <c:v>22년07월~22년09월</c:v>
                </c:pt>
                <c:pt idx="11">
                  <c:v>22년10월~22년12월</c:v>
                </c:pt>
                <c:pt idx="12">
                  <c:v>2030년(완공시)</c:v>
                </c:pt>
              </c:strCache>
            </c:strRef>
          </c:cat>
          <c:val>
            <c:numRef>
              <c:f>망미2구역!$C$60:$C$72</c:f>
              <c:numCache>
                <c:formatCode>0_);[Red]\(0\)</c:formatCode>
                <c:ptCount val="13"/>
                <c:pt idx="0">
                  <c:v>1426</c:v>
                </c:pt>
                <c:pt idx="1">
                  <c:v>2110</c:v>
                </c:pt>
                <c:pt idx="2">
                  <c:v>2191</c:v>
                </c:pt>
                <c:pt idx="3">
                  <c:v>2823</c:v>
                </c:pt>
                <c:pt idx="4">
                  <c:v>2822.8705882352938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5266560"/>
        <c:axId val="196038016"/>
      </c:lineChart>
      <c:catAx>
        <c:axId val="1952665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6038016"/>
        <c:crosses val="autoZero"/>
        <c:auto val="1"/>
        <c:lblAlgn val="ctr"/>
        <c:lblOffset val="100"/>
        <c:noMultiLvlLbl val="0"/>
      </c:catAx>
      <c:valAx>
        <c:axId val="196038016"/>
        <c:scaling>
          <c:orientation val="minMax"/>
          <c:min val="1000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52665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dPt>
            <c:idx val="8"/>
            <c:marker>
              <c:spPr>
                <a:solidFill>
                  <a:srgbClr val="FF0000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cat>
            <c:strRef>
              <c:f>용호2구역!$B$59:$B$68</c:f>
              <c:strCache>
                <c:ptCount val="10"/>
                <c:pt idx="0">
                  <c:v>2019년</c:v>
                </c:pt>
                <c:pt idx="1">
                  <c:v>20년01월~20년03월</c:v>
                </c:pt>
                <c:pt idx="2">
                  <c:v>20년04월~20년06월</c:v>
                </c:pt>
                <c:pt idx="3">
                  <c:v>20년07월~20년09월</c:v>
                </c:pt>
                <c:pt idx="4">
                  <c:v>20년10월~20년12월</c:v>
                </c:pt>
                <c:pt idx="5">
                  <c:v>21년01월~21년03월</c:v>
                </c:pt>
                <c:pt idx="6">
                  <c:v>21년04월~21년05월</c:v>
                </c:pt>
                <c:pt idx="7">
                  <c:v>21년06월~21년09월</c:v>
                </c:pt>
                <c:pt idx="8">
                  <c:v>21년10월~21년12월</c:v>
                </c:pt>
                <c:pt idx="9">
                  <c:v>2027년(완공시)</c:v>
                </c:pt>
              </c:strCache>
            </c:strRef>
          </c:cat>
          <c:val>
            <c:numRef>
              <c:f>용호2구역!$C$59:$C$68</c:f>
              <c:numCache>
                <c:formatCode>0_);[Red]\(0\)</c:formatCode>
                <c:ptCount val="10"/>
                <c:pt idx="0">
                  <c:v>1200</c:v>
                </c:pt>
                <c:pt idx="1">
                  <c:v>1250</c:v>
                </c:pt>
                <c:pt idx="2">
                  <c:v>1270</c:v>
                </c:pt>
                <c:pt idx="3">
                  <c:v>1412</c:v>
                </c:pt>
                <c:pt idx="4">
                  <c:v>1656</c:v>
                </c:pt>
                <c:pt idx="5">
                  <c:v>1773.3941176470589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6349952"/>
        <c:axId val="196042048"/>
      </c:lineChart>
      <c:catAx>
        <c:axId val="196349952"/>
        <c:scaling>
          <c:orientation val="minMax"/>
        </c:scaling>
        <c:delete val="0"/>
        <c:axPos val="b"/>
        <c:majorTickMark val="out"/>
        <c:minorTickMark val="none"/>
        <c:tickLblPos val="nextTo"/>
        <c:crossAx val="196042048"/>
        <c:crosses val="autoZero"/>
        <c:auto val="1"/>
        <c:lblAlgn val="ctr"/>
        <c:lblOffset val="100"/>
        <c:noMultiLvlLbl val="0"/>
      </c:catAx>
      <c:valAx>
        <c:axId val="196042048"/>
        <c:scaling>
          <c:orientation val="minMax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63499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dPt>
            <c:idx val="8"/>
            <c:marker>
              <c:spPr>
                <a:solidFill>
                  <a:srgbClr val="FF0000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cat>
            <c:strRef>
              <c:f>감천2구역!$B$64:$B$73</c:f>
              <c:strCache>
                <c:ptCount val="10"/>
                <c:pt idx="0">
                  <c:v>2019년</c:v>
                </c:pt>
                <c:pt idx="1">
                  <c:v>20년01월~20년03월</c:v>
                </c:pt>
                <c:pt idx="2">
                  <c:v>20년04월~20년06월</c:v>
                </c:pt>
                <c:pt idx="3">
                  <c:v>20년07월~20년09월</c:v>
                </c:pt>
                <c:pt idx="4">
                  <c:v>20년10월~20년12월</c:v>
                </c:pt>
                <c:pt idx="5">
                  <c:v>21년01월~21년03월</c:v>
                </c:pt>
                <c:pt idx="6">
                  <c:v>21년04월~21년05월</c:v>
                </c:pt>
                <c:pt idx="7">
                  <c:v>21년06월~21년09월</c:v>
                </c:pt>
                <c:pt idx="8">
                  <c:v>21년10월~21년12월</c:v>
                </c:pt>
                <c:pt idx="9">
                  <c:v>2027년(완공시)</c:v>
                </c:pt>
              </c:strCache>
            </c:strRef>
          </c:cat>
          <c:val>
            <c:numRef>
              <c:f>감천2구역!$C$64:$C$73</c:f>
              <c:numCache>
                <c:formatCode>0_);[Red]\(0\)</c:formatCode>
                <c:ptCount val="10"/>
                <c:pt idx="0">
                  <c:v>1000</c:v>
                </c:pt>
                <c:pt idx="1">
                  <c:v>1000</c:v>
                </c:pt>
                <c:pt idx="2">
                  <c:v>1200</c:v>
                </c:pt>
                <c:pt idx="3">
                  <c:v>1100</c:v>
                </c:pt>
                <c:pt idx="4">
                  <c:v>1202</c:v>
                </c:pt>
                <c:pt idx="5">
                  <c:v>1202.3529411764705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6353536"/>
        <c:axId val="196077824"/>
      </c:lineChart>
      <c:catAx>
        <c:axId val="196353536"/>
        <c:scaling>
          <c:orientation val="minMax"/>
        </c:scaling>
        <c:delete val="0"/>
        <c:axPos val="b"/>
        <c:majorTickMark val="out"/>
        <c:minorTickMark val="none"/>
        <c:tickLblPos val="nextTo"/>
        <c:crossAx val="196077824"/>
        <c:crosses val="autoZero"/>
        <c:auto val="1"/>
        <c:lblAlgn val="ctr"/>
        <c:lblOffset val="100"/>
        <c:noMultiLvlLbl val="0"/>
      </c:catAx>
      <c:valAx>
        <c:axId val="196077824"/>
        <c:scaling>
          <c:orientation val="minMax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63535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dPt>
            <c:idx val="8"/>
            <c:marker>
              <c:spPr>
                <a:solidFill>
                  <a:srgbClr val="FF0000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cat>
            <c:strRef>
              <c:f>영도5구역!$B$59:$B$68</c:f>
              <c:strCache>
                <c:ptCount val="10"/>
                <c:pt idx="0">
                  <c:v>2019년</c:v>
                </c:pt>
                <c:pt idx="1">
                  <c:v>20년01월~20년03월</c:v>
                </c:pt>
                <c:pt idx="2">
                  <c:v>20년04월~20년06월</c:v>
                </c:pt>
                <c:pt idx="3">
                  <c:v>20년07월~20년09월</c:v>
                </c:pt>
                <c:pt idx="4">
                  <c:v>20년10월~20년12월</c:v>
                </c:pt>
                <c:pt idx="5">
                  <c:v>21년01월~21년03월</c:v>
                </c:pt>
                <c:pt idx="6">
                  <c:v>21년04월~21년05월</c:v>
                </c:pt>
                <c:pt idx="7">
                  <c:v>21년06월~21년09월</c:v>
                </c:pt>
                <c:pt idx="8">
                  <c:v>21년10월~21년12월</c:v>
                </c:pt>
                <c:pt idx="9">
                  <c:v>2027년(완공시)</c:v>
                </c:pt>
              </c:strCache>
            </c:strRef>
          </c:cat>
          <c:val>
            <c:numRef>
              <c:f>영도5구역!$C$59:$C$68</c:f>
              <c:numCache>
                <c:formatCode>0_);[Red]\(0\)</c:formatCode>
                <c:ptCount val="10"/>
                <c:pt idx="0">
                  <c:v>938</c:v>
                </c:pt>
                <c:pt idx="1">
                  <c:v>1100</c:v>
                </c:pt>
                <c:pt idx="2">
                  <c:v>1291</c:v>
                </c:pt>
                <c:pt idx="3">
                  <c:v>1232</c:v>
                </c:pt>
                <c:pt idx="4">
                  <c:v>1857</c:v>
                </c:pt>
                <c:pt idx="5">
                  <c:v>1783.1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6838912"/>
        <c:axId val="196081280"/>
      </c:lineChart>
      <c:catAx>
        <c:axId val="196838912"/>
        <c:scaling>
          <c:orientation val="minMax"/>
        </c:scaling>
        <c:delete val="0"/>
        <c:axPos val="b"/>
        <c:majorTickMark val="out"/>
        <c:minorTickMark val="none"/>
        <c:tickLblPos val="nextTo"/>
        <c:crossAx val="196081280"/>
        <c:crosses val="autoZero"/>
        <c:auto val="1"/>
        <c:lblAlgn val="ctr"/>
        <c:lblOffset val="100"/>
        <c:noMultiLvlLbl val="0"/>
      </c:catAx>
      <c:valAx>
        <c:axId val="196081280"/>
        <c:scaling>
          <c:orientation val="minMax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683891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dPt>
            <c:idx val="8"/>
            <c:marker>
              <c:spPr>
                <a:solidFill>
                  <a:srgbClr val="FF0000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cat>
            <c:strRef>
              <c:f>부민2구역!$B$58:$B$67</c:f>
              <c:strCache>
                <c:ptCount val="10"/>
                <c:pt idx="0">
                  <c:v>20년10월~20년12월</c:v>
                </c:pt>
                <c:pt idx="1">
                  <c:v>21년01월~21년03월</c:v>
                </c:pt>
                <c:pt idx="2">
                  <c:v>21년04월~21년06월</c:v>
                </c:pt>
                <c:pt idx="3">
                  <c:v>21년07월~21년09월</c:v>
                </c:pt>
                <c:pt idx="4">
                  <c:v>21년10월~21년12월</c:v>
                </c:pt>
                <c:pt idx="5">
                  <c:v>22년01월~22년03월</c:v>
                </c:pt>
                <c:pt idx="6">
                  <c:v>22년04월~22년06월</c:v>
                </c:pt>
                <c:pt idx="7">
                  <c:v>22년07월~22년09월</c:v>
                </c:pt>
                <c:pt idx="8">
                  <c:v>22년10월~21년12월</c:v>
                </c:pt>
                <c:pt idx="9">
                  <c:v>준공시</c:v>
                </c:pt>
              </c:strCache>
            </c:strRef>
          </c:cat>
          <c:val>
            <c:numRef>
              <c:f>부민2구역!$C$58:$C$67</c:f>
              <c:numCache>
                <c:formatCode>0_);[Red]\(0\)</c:formatCode>
                <c:ptCount val="10"/>
                <c:pt idx="0">
                  <c:v>1840</c:v>
                </c:pt>
                <c:pt idx="1">
                  <c:v>1899.3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6636672"/>
        <c:axId val="196083008"/>
      </c:lineChart>
      <c:catAx>
        <c:axId val="196636672"/>
        <c:scaling>
          <c:orientation val="minMax"/>
        </c:scaling>
        <c:delete val="0"/>
        <c:axPos val="b"/>
        <c:majorTickMark val="out"/>
        <c:minorTickMark val="none"/>
        <c:tickLblPos val="nextTo"/>
        <c:crossAx val="196083008"/>
        <c:crosses val="autoZero"/>
        <c:auto val="1"/>
        <c:lblAlgn val="ctr"/>
        <c:lblOffset val="100"/>
        <c:noMultiLvlLbl val="0"/>
      </c:catAx>
      <c:valAx>
        <c:axId val="196083008"/>
        <c:scaling>
          <c:orientation val="minMax"/>
        </c:scaling>
        <c:delete val="0"/>
        <c:axPos val="l"/>
        <c:majorGridlines/>
        <c:numFmt formatCode="0_);[Red]\(0\)" sourceLinked="1"/>
        <c:majorTickMark val="out"/>
        <c:minorTickMark val="none"/>
        <c:tickLblPos val="nextTo"/>
        <c:crossAx val="1966366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'남천2-3 남천삼익비치-재건축'!$C$47</c:f>
              <c:strCache>
                <c:ptCount val="1"/>
                <c:pt idx="0">
                  <c:v>평균 총구매 평당가(만원)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diamond"/>
            <c:size val="4"/>
            <c:spPr>
              <a:solidFill>
                <a:schemeClr val="accent1"/>
              </a:solidFill>
            </c:spPr>
          </c:marker>
          <c:dPt>
            <c:idx val="8"/>
            <c:marker>
              <c:spPr>
                <a:solidFill>
                  <a:schemeClr val="accent1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dPt>
            <c:idx val="12"/>
            <c:marker>
              <c:symbol val="diamond"/>
              <c:size val="8"/>
              <c:spPr>
                <a:solidFill>
                  <a:srgbClr val="FF0000"/>
                </a:solidFill>
              </c:spPr>
            </c:marker>
            <c:bubble3D val="0"/>
          </c:dPt>
          <c:cat>
            <c:strRef>
              <c:f>'남천2-3 남천삼익비치-재건축'!$B$48:$B$60</c:f>
              <c:strCache>
                <c:ptCount val="13"/>
                <c:pt idx="0">
                  <c:v>20년01월~20년03월</c:v>
                </c:pt>
                <c:pt idx="1">
                  <c:v>20년04월~20년06월</c:v>
                </c:pt>
                <c:pt idx="2">
                  <c:v>20년07월~20년09월</c:v>
                </c:pt>
                <c:pt idx="3">
                  <c:v>20년10월~20년12월</c:v>
                </c:pt>
                <c:pt idx="4">
                  <c:v>2021년</c:v>
                </c:pt>
                <c:pt idx="5">
                  <c:v>2022년</c:v>
                </c:pt>
                <c:pt idx="6">
                  <c:v>2023년</c:v>
                </c:pt>
                <c:pt idx="7">
                  <c:v>2024년</c:v>
                </c:pt>
                <c:pt idx="8">
                  <c:v>2025년</c:v>
                </c:pt>
                <c:pt idx="9">
                  <c:v>2026년</c:v>
                </c:pt>
                <c:pt idx="10">
                  <c:v>2027년</c:v>
                </c:pt>
                <c:pt idx="11">
                  <c:v>2028년</c:v>
                </c:pt>
                <c:pt idx="12">
                  <c:v>2029년(완공시)</c:v>
                </c:pt>
              </c:strCache>
            </c:strRef>
          </c:cat>
          <c:val>
            <c:numRef>
              <c:f>'남천2-3 남천삼익비치-재건축'!$C$48:$C$60</c:f>
              <c:numCache>
                <c:formatCode>General</c:formatCode>
                <c:ptCount val="13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6772352"/>
        <c:axId val="196556992"/>
      </c:lineChart>
      <c:catAx>
        <c:axId val="1967723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6556992"/>
        <c:crosses val="autoZero"/>
        <c:auto val="1"/>
        <c:lblAlgn val="ctr"/>
        <c:lblOffset val="100"/>
        <c:noMultiLvlLbl val="0"/>
      </c:catAx>
      <c:valAx>
        <c:axId val="196556992"/>
        <c:scaling>
          <c:orientation val="minMax"/>
          <c:min val="100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677235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'거제1-재건축'!$C$49</c:f>
              <c:strCache>
                <c:ptCount val="1"/>
                <c:pt idx="0">
                  <c:v>평균 총구매 평당가(만원)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diamond"/>
            <c:size val="4"/>
            <c:spPr>
              <a:solidFill>
                <a:schemeClr val="accent1"/>
              </a:solidFill>
            </c:spPr>
          </c:marker>
          <c:dPt>
            <c:idx val="8"/>
            <c:marker>
              <c:spPr>
                <a:solidFill>
                  <a:schemeClr val="accent1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dPt>
            <c:idx val="12"/>
            <c:marker>
              <c:symbol val="diamond"/>
              <c:size val="8"/>
              <c:spPr>
                <a:solidFill>
                  <a:srgbClr val="FF0000"/>
                </a:solidFill>
              </c:spPr>
            </c:marker>
            <c:bubble3D val="0"/>
          </c:dPt>
          <c:cat>
            <c:strRef>
              <c:f>'거제1-재건축'!$B$50:$B$62</c:f>
              <c:strCache>
                <c:ptCount val="13"/>
                <c:pt idx="0">
                  <c:v>20년01월~20년03월</c:v>
                </c:pt>
                <c:pt idx="1">
                  <c:v>20년04월~20년06월</c:v>
                </c:pt>
                <c:pt idx="2">
                  <c:v>20년07월~20년09월</c:v>
                </c:pt>
                <c:pt idx="3">
                  <c:v>20년10월~20년12월</c:v>
                </c:pt>
                <c:pt idx="4">
                  <c:v>2021년</c:v>
                </c:pt>
                <c:pt idx="5">
                  <c:v>2022년</c:v>
                </c:pt>
                <c:pt idx="6">
                  <c:v>2023년</c:v>
                </c:pt>
                <c:pt idx="7">
                  <c:v>2024년</c:v>
                </c:pt>
                <c:pt idx="8">
                  <c:v>2025년</c:v>
                </c:pt>
                <c:pt idx="9">
                  <c:v>2026년</c:v>
                </c:pt>
                <c:pt idx="10">
                  <c:v>2027년</c:v>
                </c:pt>
                <c:pt idx="11">
                  <c:v>2028년</c:v>
                </c:pt>
                <c:pt idx="12">
                  <c:v>2029년(완공시)</c:v>
                </c:pt>
              </c:strCache>
            </c:strRef>
          </c:cat>
          <c:val>
            <c:numRef>
              <c:f>'거제1-재건축'!$C$50:$C$62</c:f>
              <c:numCache>
                <c:formatCode>General</c:formatCode>
                <c:ptCount val="13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6773888"/>
        <c:axId val="196576960"/>
      </c:lineChart>
      <c:catAx>
        <c:axId val="1967738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6576960"/>
        <c:crosses val="autoZero"/>
        <c:auto val="1"/>
        <c:lblAlgn val="ctr"/>
        <c:lblOffset val="100"/>
        <c:noMultiLvlLbl val="0"/>
      </c:catAx>
      <c:valAx>
        <c:axId val="196576960"/>
        <c:scaling>
          <c:orientation val="minMax"/>
          <c:min val="100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677388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'사직1-5-재건축'!$C$47</c:f>
              <c:strCache>
                <c:ptCount val="1"/>
                <c:pt idx="0">
                  <c:v>평균 총구매 평당가(만원)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diamond"/>
            <c:size val="4"/>
            <c:spPr>
              <a:solidFill>
                <a:schemeClr val="accent1"/>
              </a:solidFill>
            </c:spPr>
          </c:marker>
          <c:dPt>
            <c:idx val="8"/>
            <c:marker>
              <c:spPr>
                <a:solidFill>
                  <a:schemeClr val="accent1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dPt>
            <c:idx val="12"/>
            <c:marker>
              <c:symbol val="diamond"/>
              <c:size val="8"/>
              <c:spPr>
                <a:solidFill>
                  <a:srgbClr val="FF0000"/>
                </a:solidFill>
              </c:spPr>
            </c:marker>
            <c:bubble3D val="0"/>
          </c:dPt>
          <c:cat>
            <c:strRef>
              <c:f>'사직1-5-재건축'!$B$48:$B$60</c:f>
              <c:strCache>
                <c:ptCount val="13"/>
                <c:pt idx="0">
                  <c:v>20년01월~20년03월</c:v>
                </c:pt>
                <c:pt idx="1">
                  <c:v>20년04월~20년06월</c:v>
                </c:pt>
                <c:pt idx="2">
                  <c:v>20년07월~20년09월</c:v>
                </c:pt>
                <c:pt idx="3">
                  <c:v>20년10월~20년12월</c:v>
                </c:pt>
                <c:pt idx="4">
                  <c:v>2021년</c:v>
                </c:pt>
                <c:pt idx="5">
                  <c:v>2022년</c:v>
                </c:pt>
                <c:pt idx="6">
                  <c:v>2023년</c:v>
                </c:pt>
                <c:pt idx="7">
                  <c:v>2024년</c:v>
                </c:pt>
                <c:pt idx="8">
                  <c:v>2025년</c:v>
                </c:pt>
                <c:pt idx="9">
                  <c:v>2026년</c:v>
                </c:pt>
                <c:pt idx="10">
                  <c:v>2027년</c:v>
                </c:pt>
                <c:pt idx="11">
                  <c:v>2028년</c:v>
                </c:pt>
                <c:pt idx="12">
                  <c:v>2029년(완공시)</c:v>
                </c:pt>
              </c:strCache>
            </c:strRef>
          </c:cat>
          <c:val>
            <c:numRef>
              <c:f>'사직1-5-재건축'!$C$48:$C$60</c:f>
              <c:numCache>
                <c:formatCode>General</c:formatCode>
                <c:ptCount val="13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6775424"/>
        <c:axId val="196581568"/>
      </c:lineChart>
      <c:catAx>
        <c:axId val="1967754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6581568"/>
        <c:crosses val="autoZero"/>
        <c:auto val="1"/>
        <c:lblAlgn val="ctr"/>
        <c:lblOffset val="100"/>
        <c:noMultiLvlLbl val="0"/>
      </c:catAx>
      <c:valAx>
        <c:axId val="196581568"/>
        <c:scaling>
          <c:orientation val="minMax"/>
          <c:min val="100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6775424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'사직1-6-재건축'!$C$47</c:f>
              <c:strCache>
                <c:ptCount val="1"/>
                <c:pt idx="0">
                  <c:v>평균 총구매 평당가(만원)</c:v>
                </c:pt>
              </c:strCache>
            </c:strRef>
          </c:tx>
          <c:spPr>
            <a:ln>
              <a:solidFill>
                <a:srgbClr val="FFC000"/>
              </a:solidFill>
            </a:ln>
          </c:spPr>
          <c:marker>
            <c:symbol val="diamond"/>
            <c:size val="4"/>
            <c:spPr>
              <a:solidFill>
                <a:schemeClr val="accent1"/>
              </a:solidFill>
            </c:spPr>
          </c:marker>
          <c:dPt>
            <c:idx val="8"/>
            <c:marker>
              <c:spPr>
                <a:solidFill>
                  <a:schemeClr val="accent1"/>
                </a:solidFill>
                <a:ln>
                  <a:solidFill>
                    <a:srgbClr val="FF0000"/>
                  </a:solidFill>
                </a:ln>
              </c:spPr>
            </c:marker>
            <c:bubble3D val="0"/>
          </c:dPt>
          <c:dPt>
            <c:idx val="12"/>
            <c:marker>
              <c:symbol val="diamond"/>
              <c:size val="8"/>
              <c:spPr>
                <a:solidFill>
                  <a:srgbClr val="FF0000"/>
                </a:solidFill>
              </c:spPr>
            </c:marker>
            <c:bubble3D val="0"/>
          </c:dPt>
          <c:cat>
            <c:strRef>
              <c:f>'사직1-6-재건축'!$B$48:$B$60</c:f>
              <c:strCache>
                <c:ptCount val="13"/>
                <c:pt idx="0">
                  <c:v>20년01월~20년03월</c:v>
                </c:pt>
                <c:pt idx="1">
                  <c:v>20년04월~20년06월</c:v>
                </c:pt>
                <c:pt idx="2">
                  <c:v>20년07월~20년09월</c:v>
                </c:pt>
                <c:pt idx="3">
                  <c:v>20년10월~20년12월</c:v>
                </c:pt>
                <c:pt idx="4">
                  <c:v>2021년</c:v>
                </c:pt>
                <c:pt idx="5">
                  <c:v>2022년</c:v>
                </c:pt>
                <c:pt idx="6">
                  <c:v>2023년</c:v>
                </c:pt>
                <c:pt idx="7">
                  <c:v>2024년</c:v>
                </c:pt>
                <c:pt idx="8">
                  <c:v>2025년</c:v>
                </c:pt>
                <c:pt idx="9">
                  <c:v>2026년</c:v>
                </c:pt>
                <c:pt idx="10">
                  <c:v>2027년</c:v>
                </c:pt>
                <c:pt idx="11">
                  <c:v>2028년</c:v>
                </c:pt>
                <c:pt idx="12">
                  <c:v>2029년(완공시)</c:v>
                </c:pt>
              </c:strCache>
            </c:strRef>
          </c:cat>
          <c:val>
            <c:numRef>
              <c:f>'사직1-6-재건축'!$C$48:$C$60</c:f>
              <c:numCache>
                <c:formatCode>General</c:formatCode>
                <c:ptCount val="13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7547008"/>
        <c:axId val="197225280"/>
      </c:lineChart>
      <c:catAx>
        <c:axId val="197547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97225280"/>
        <c:crosses val="autoZero"/>
        <c:auto val="1"/>
        <c:lblAlgn val="ctr"/>
        <c:lblOffset val="100"/>
        <c:noMultiLvlLbl val="0"/>
      </c:catAx>
      <c:valAx>
        <c:axId val="197225280"/>
        <c:scaling>
          <c:orientation val="minMax"/>
          <c:min val="100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754700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image" Target="../media/image4.png"/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image" Target="../media/image10.jpeg"/><Relationship Id="rId1" Type="http://schemas.openxmlformats.org/officeDocument/2006/relationships/image" Target="../media/image9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image" Target="../media/image12.png"/><Relationship Id="rId1" Type="http://schemas.openxmlformats.org/officeDocument/2006/relationships/image" Target="../media/image11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png"/><Relationship Id="rId2" Type="http://schemas.openxmlformats.org/officeDocument/2006/relationships/image" Target="../media/image13.png"/><Relationship Id="rId1" Type="http://schemas.openxmlformats.org/officeDocument/2006/relationships/chart" Target="../charts/chart8.xml"/><Relationship Id="rId5" Type="http://schemas.openxmlformats.org/officeDocument/2006/relationships/image" Target="../media/image16.png"/><Relationship Id="rId4" Type="http://schemas.openxmlformats.org/officeDocument/2006/relationships/image" Target="../media/image15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image" Target="../media/image18.jpeg"/><Relationship Id="rId1" Type="http://schemas.openxmlformats.org/officeDocument/2006/relationships/image" Target="../media/image17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0.jpeg"/><Relationship Id="rId2" Type="http://schemas.openxmlformats.org/officeDocument/2006/relationships/image" Target="../media/image19.jpeg"/><Relationship Id="rId1" Type="http://schemas.openxmlformats.org/officeDocument/2006/relationships/chart" Target="../charts/chart10.xml"/><Relationship Id="rId4" Type="http://schemas.openxmlformats.org/officeDocument/2006/relationships/image" Target="../media/image21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image" Target="../media/image23.png"/><Relationship Id="rId1" Type="http://schemas.openxmlformats.org/officeDocument/2006/relationships/image" Target="../media/image22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image" Target="../media/image25.png"/><Relationship Id="rId1" Type="http://schemas.openxmlformats.org/officeDocument/2006/relationships/image" Target="../media/image24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.xml"/><Relationship Id="rId2" Type="http://schemas.openxmlformats.org/officeDocument/2006/relationships/image" Target="../media/image27.png"/><Relationship Id="rId1" Type="http://schemas.openxmlformats.org/officeDocument/2006/relationships/image" Target="../media/image26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image" Target="../media/image29.jpeg"/><Relationship Id="rId1" Type="http://schemas.openxmlformats.org/officeDocument/2006/relationships/image" Target="../media/image28.pn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5.xml"/><Relationship Id="rId2" Type="http://schemas.openxmlformats.org/officeDocument/2006/relationships/image" Target="../media/image31.png"/><Relationship Id="rId1" Type="http://schemas.openxmlformats.org/officeDocument/2006/relationships/image" Target="../media/image30.pn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image" Target="../media/image32.png"/><Relationship Id="rId1" Type="http://schemas.openxmlformats.org/officeDocument/2006/relationships/image" Target="../media/image30.pn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7.xml"/><Relationship Id="rId2" Type="http://schemas.openxmlformats.org/officeDocument/2006/relationships/image" Target="../media/image34.gif"/><Relationship Id="rId1" Type="http://schemas.openxmlformats.org/officeDocument/2006/relationships/image" Target="../media/image33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6.jpeg"/><Relationship Id="rId2" Type="http://schemas.openxmlformats.org/officeDocument/2006/relationships/image" Target="../media/image35.jpeg"/><Relationship Id="rId1" Type="http://schemas.openxmlformats.org/officeDocument/2006/relationships/chart" Target="../charts/chart18.xml"/><Relationship Id="rId5" Type="http://schemas.openxmlformats.org/officeDocument/2006/relationships/image" Target="../media/image38.png"/><Relationship Id="rId4" Type="http://schemas.openxmlformats.org/officeDocument/2006/relationships/image" Target="../media/image37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9.png"/><Relationship Id="rId2" Type="http://schemas.openxmlformats.org/officeDocument/2006/relationships/image" Target="../media/image37.jpeg"/><Relationship Id="rId1" Type="http://schemas.openxmlformats.org/officeDocument/2006/relationships/chart" Target="../charts/chart19.xml"/><Relationship Id="rId4" Type="http://schemas.openxmlformats.org/officeDocument/2006/relationships/image" Target="../media/image40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2.jpg"/><Relationship Id="rId2" Type="http://schemas.openxmlformats.org/officeDocument/2006/relationships/image" Target="../media/image41.jpeg"/><Relationship Id="rId1" Type="http://schemas.openxmlformats.org/officeDocument/2006/relationships/chart" Target="../charts/chart20.xml"/><Relationship Id="rId4" Type="http://schemas.openxmlformats.org/officeDocument/2006/relationships/image" Target="../media/image43.png"/></Relationships>
</file>

<file path=xl/drawings/_rels/drawing2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0.jpeg"/><Relationship Id="rId3" Type="http://schemas.openxmlformats.org/officeDocument/2006/relationships/image" Target="../media/image45.png"/><Relationship Id="rId7" Type="http://schemas.openxmlformats.org/officeDocument/2006/relationships/image" Target="../media/image49.jpg"/><Relationship Id="rId2" Type="http://schemas.openxmlformats.org/officeDocument/2006/relationships/chart" Target="../charts/chart21.xml"/><Relationship Id="rId1" Type="http://schemas.openxmlformats.org/officeDocument/2006/relationships/image" Target="../media/image44.png"/><Relationship Id="rId6" Type="http://schemas.openxmlformats.org/officeDocument/2006/relationships/image" Target="../media/image48.jpeg"/><Relationship Id="rId5" Type="http://schemas.openxmlformats.org/officeDocument/2006/relationships/image" Target="../media/image47.png"/><Relationship Id="rId4" Type="http://schemas.openxmlformats.org/officeDocument/2006/relationships/image" Target="../media/image46.jp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2.xml"/><Relationship Id="rId2" Type="http://schemas.openxmlformats.org/officeDocument/2006/relationships/image" Target="../media/image52.png"/><Relationship Id="rId1" Type="http://schemas.openxmlformats.org/officeDocument/2006/relationships/image" Target="../media/image51.jpe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4.png"/><Relationship Id="rId2" Type="http://schemas.openxmlformats.org/officeDocument/2006/relationships/image" Target="../media/image53.jpeg"/><Relationship Id="rId1" Type="http://schemas.openxmlformats.org/officeDocument/2006/relationships/chart" Target="../charts/chart23.xml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6.jpg"/><Relationship Id="rId2" Type="http://schemas.openxmlformats.org/officeDocument/2006/relationships/image" Target="../media/image55.jpg"/><Relationship Id="rId1" Type="http://schemas.openxmlformats.org/officeDocument/2006/relationships/chart" Target="../charts/chart24.xml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5.xml"/><Relationship Id="rId2" Type="http://schemas.openxmlformats.org/officeDocument/2006/relationships/image" Target="../media/image58.jpeg"/><Relationship Id="rId1" Type="http://schemas.openxmlformats.org/officeDocument/2006/relationships/image" Target="../media/image57.jpe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jpg"/><Relationship Id="rId2" Type="http://schemas.openxmlformats.org/officeDocument/2006/relationships/image" Target="../media/image60.png"/><Relationship Id="rId1" Type="http://schemas.openxmlformats.org/officeDocument/2006/relationships/image" Target="../media/image59.jpe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63.png"/><Relationship Id="rId2" Type="http://schemas.openxmlformats.org/officeDocument/2006/relationships/image" Target="../media/image62.png"/><Relationship Id="rId1" Type="http://schemas.openxmlformats.org/officeDocument/2006/relationships/chart" Target="../charts/chart26.xml"/><Relationship Id="rId5" Type="http://schemas.openxmlformats.org/officeDocument/2006/relationships/image" Target="../media/image65.jpg"/><Relationship Id="rId4" Type="http://schemas.openxmlformats.org/officeDocument/2006/relationships/image" Target="../media/image64.jp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67.jpg"/><Relationship Id="rId2" Type="http://schemas.openxmlformats.org/officeDocument/2006/relationships/image" Target="../media/image66.png"/><Relationship Id="rId1" Type="http://schemas.openxmlformats.org/officeDocument/2006/relationships/chart" Target="../charts/chart27.xml"/><Relationship Id="rId4" Type="http://schemas.openxmlformats.org/officeDocument/2006/relationships/image" Target="../media/image62.png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image" Target="../media/image69.png"/><Relationship Id="rId1" Type="http://schemas.openxmlformats.org/officeDocument/2006/relationships/image" Target="../media/image68.jpeg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71.png"/><Relationship Id="rId2" Type="http://schemas.openxmlformats.org/officeDocument/2006/relationships/image" Target="../media/image70.png"/><Relationship Id="rId1" Type="http://schemas.openxmlformats.org/officeDocument/2006/relationships/chart" Target="../charts/chart29.xml"/></Relationships>
</file>

<file path=xl/drawings/_rels/drawing3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0.xml"/><Relationship Id="rId2" Type="http://schemas.openxmlformats.org/officeDocument/2006/relationships/image" Target="../media/image73.jpeg"/><Relationship Id="rId1" Type="http://schemas.openxmlformats.org/officeDocument/2006/relationships/image" Target="../media/image72.png"/></Relationships>
</file>

<file path=xl/drawings/_rels/drawing3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5.png"/><Relationship Id="rId2" Type="http://schemas.openxmlformats.org/officeDocument/2006/relationships/image" Target="../media/image74.jpeg"/><Relationship Id="rId1" Type="http://schemas.openxmlformats.org/officeDocument/2006/relationships/chart" Target="../charts/chart31.xml"/><Relationship Id="rId4" Type="http://schemas.openxmlformats.org/officeDocument/2006/relationships/image" Target="../media/image76.png"/></Relationships>
</file>

<file path=xl/drawings/_rels/drawing3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8.jpeg"/><Relationship Id="rId2" Type="http://schemas.openxmlformats.org/officeDocument/2006/relationships/image" Target="../media/image77.jpeg"/><Relationship Id="rId1" Type="http://schemas.openxmlformats.org/officeDocument/2006/relationships/chart" Target="../charts/chart32.xml"/><Relationship Id="rId4" Type="http://schemas.openxmlformats.org/officeDocument/2006/relationships/image" Target="../media/image79.jpeg"/></Relationships>
</file>

<file path=xl/drawings/_rels/drawing34.xml.rels><?xml version="1.0" encoding="UTF-8" standalone="yes"?>
<Relationships xmlns="http://schemas.openxmlformats.org/package/2006/relationships"><Relationship Id="rId3" Type="http://schemas.openxmlformats.org/officeDocument/2006/relationships/image" Target="../media/image81.jpeg"/><Relationship Id="rId2" Type="http://schemas.openxmlformats.org/officeDocument/2006/relationships/image" Target="../media/image80.jpeg"/><Relationship Id="rId1" Type="http://schemas.openxmlformats.org/officeDocument/2006/relationships/chart" Target="../charts/chart33.xml"/></Relationships>
</file>

<file path=xl/drawings/_rels/drawing3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4.xml"/><Relationship Id="rId2" Type="http://schemas.openxmlformats.org/officeDocument/2006/relationships/image" Target="../media/image83.png"/><Relationship Id="rId1" Type="http://schemas.openxmlformats.org/officeDocument/2006/relationships/image" Target="../media/image82.png"/></Relationships>
</file>

<file path=xl/drawings/_rels/drawing36.xml.rels><?xml version="1.0" encoding="UTF-8" standalone="yes"?>
<Relationships xmlns="http://schemas.openxmlformats.org/package/2006/relationships"><Relationship Id="rId3" Type="http://schemas.openxmlformats.org/officeDocument/2006/relationships/image" Target="../media/image85.png"/><Relationship Id="rId2" Type="http://schemas.openxmlformats.org/officeDocument/2006/relationships/image" Target="../media/image84.png"/><Relationship Id="rId1" Type="http://schemas.openxmlformats.org/officeDocument/2006/relationships/chart" Target="../charts/chart35.xml"/><Relationship Id="rId4" Type="http://schemas.openxmlformats.org/officeDocument/2006/relationships/image" Target="../media/image86.jpe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6.xml"/></Relationships>
</file>

<file path=xl/drawings/_rels/drawing38.xml.rels><?xml version="1.0" encoding="UTF-8" standalone="yes"?>
<Relationships xmlns="http://schemas.openxmlformats.org/package/2006/relationships"><Relationship Id="rId3" Type="http://schemas.openxmlformats.org/officeDocument/2006/relationships/image" Target="../media/image88.jpeg"/><Relationship Id="rId2" Type="http://schemas.openxmlformats.org/officeDocument/2006/relationships/image" Target="../media/image87.jpeg"/><Relationship Id="rId1" Type="http://schemas.openxmlformats.org/officeDocument/2006/relationships/chart" Target="../charts/chart37.xml"/><Relationship Id="rId4" Type="http://schemas.openxmlformats.org/officeDocument/2006/relationships/image" Target="../media/image89.jpeg"/></Relationships>
</file>

<file path=xl/drawings/_rels/drawing39.xml.rels><?xml version="1.0" encoding="UTF-8" standalone="yes"?>
<Relationships xmlns="http://schemas.openxmlformats.org/package/2006/relationships"><Relationship Id="rId2" Type="http://schemas.openxmlformats.org/officeDocument/2006/relationships/image" Target="../media/image91.png"/><Relationship Id="rId1" Type="http://schemas.openxmlformats.org/officeDocument/2006/relationships/image" Target="../media/image90.jpeg"/></Relationships>
</file>

<file path=xl/drawings/_rels/drawing40.xml.rels><?xml version="1.0" encoding="UTF-8" standalone="yes"?>
<Relationships xmlns="http://schemas.openxmlformats.org/package/2006/relationships"><Relationship Id="rId2" Type="http://schemas.openxmlformats.org/officeDocument/2006/relationships/image" Target="../media/image93.png"/><Relationship Id="rId1" Type="http://schemas.openxmlformats.org/officeDocument/2006/relationships/image" Target="../media/image92.png"/></Relationships>
</file>

<file path=xl/drawings/_rels/drawing41.xml.rels><?xml version="1.0" encoding="UTF-8" standalone="yes"?>
<Relationships xmlns="http://schemas.openxmlformats.org/package/2006/relationships"><Relationship Id="rId2" Type="http://schemas.openxmlformats.org/officeDocument/2006/relationships/image" Target="../media/image95.png"/><Relationship Id="rId1" Type="http://schemas.openxmlformats.org/officeDocument/2006/relationships/image" Target="../media/image94.png"/></Relationships>
</file>

<file path=xl/drawings/_rels/drawing4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7.jpeg"/><Relationship Id="rId2" Type="http://schemas.openxmlformats.org/officeDocument/2006/relationships/chart" Target="../charts/chart38.xml"/><Relationship Id="rId1" Type="http://schemas.openxmlformats.org/officeDocument/2006/relationships/image" Target="../media/image96.jpeg"/><Relationship Id="rId4" Type="http://schemas.openxmlformats.org/officeDocument/2006/relationships/image" Target="../media/image98.jpeg"/></Relationships>
</file>

<file path=xl/drawings/_rels/drawing4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0.png"/><Relationship Id="rId2" Type="http://schemas.openxmlformats.org/officeDocument/2006/relationships/image" Target="../media/image99.png"/><Relationship Id="rId1" Type="http://schemas.openxmlformats.org/officeDocument/2006/relationships/chart" Target="../charts/chart39.xml"/><Relationship Id="rId6" Type="http://schemas.openxmlformats.org/officeDocument/2006/relationships/image" Target="../media/image103.jpeg"/><Relationship Id="rId5" Type="http://schemas.openxmlformats.org/officeDocument/2006/relationships/image" Target="../media/image102.png"/><Relationship Id="rId4" Type="http://schemas.openxmlformats.org/officeDocument/2006/relationships/image" Target="../media/image101.png"/></Relationships>
</file>

<file path=xl/drawings/_rels/drawing4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5.jpeg"/><Relationship Id="rId2" Type="http://schemas.openxmlformats.org/officeDocument/2006/relationships/image" Target="../media/image104.png"/><Relationship Id="rId1" Type="http://schemas.openxmlformats.org/officeDocument/2006/relationships/chart" Target="../charts/chart40.xml"/><Relationship Id="rId6" Type="http://schemas.openxmlformats.org/officeDocument/2006/relationships/image" Target="../media/image108.png"/><Relationship Id="rId5" Type="http://schemas.openxmlformats.org/officeDocument/2006/relationships/image" Target="../media/image107.png"/><Relationship Id="rId4" Type="http://schemas.openxmlformats.org/officeDocument/2006/relationships/image" Target="../media/image106.jpeg"/></Relationships>
</file>

<file path=xl/drawings/_rels/drawing4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0.jpeg"/><Relationship Id="rId2" Type="http://schemas.openxmlformats.org/officeDocument/2006/relationships/image" Target="../media/image109.png"/><Relationship Id="rId1" Type="http://schemas.openxmlformats.org/officeDocument/2006/relationships/chart" Target="../charts/chart41.xml"/><Relationship Id="rId5" Type="http://schemas.openxmlformats.org/officeDocument/2006/relationships/image" Target="../media/image112.jpeg"/><Relationship Id="rId4" Type="http://schemas.openxmlformats.org/officeDocument/2006/relationships/image" Target="../media/image11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38</xdr:row>
      <xdr:rowOff>80817</xdr:rowOff>
    </xdr:from>
    <xdr:to>
      <xdr:col>10</xdr:col>
      <xdr:colOff>0</xdr:colOff>
      <xdr:row>72</xdr:row>
      <xdr:rowOff>0</xdr:rowOff>
    </xdr:to>
    <xdr:graphicFrame macro="">
      <xdr:nvGraphicFramePr>
        <xdr:cNvPr id="4" name="차트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257175</xdr:colOff>
      <xdr:row>19</xdr:row>
      <xdr:rowOff>28575</xdr:rowOff>
    </xdr:from>
    <xdr:to>
      <xdr:col>7</xdr:col>
      <xdr:colOff>687668</xdr:colOff>
      <xdr:row>28</xdr:row>
      <xdr:rowOff>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5064124" y="3929062"/>
          <a:ext cx="2698749" cy="1682749"/>
        </a:xfrm>
        <a:prstGeom prst="rect">
          <a:avLst/>
        </a:prstGeom>
      </xdr:spPr>
    </xdr:pic>
    <xdr:clientData/>
  </xdr:twoCellAnchor>
  <xdr:twoCellAnchor editAs="oneCell">
    <xdr:from>
      <xdr:col>3</xdr:col>
      <xdr:colOff>9525</xdr:colOff>
      <xdr:row>19</xdr:row>
      <xdr:rowOff>28575</xdr:rowOff>
    </xdr:from>
    <xdr:to>
      <xdr:col>4</xdr:col>
      <xdr:colOff>922056</xdr:colOff>
      <xdr:row>28</xdr:row>
      <xdr:rowOff>0</xdr:rowOff>
    </xdr:to>
    <xdr:pic>
      <xdr:nvPicPr>
        <xdr:cNvPr id="7" name="그림 6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2762250" y="3929062"/>
          <a:ext cx="2301875" cy="1682749"/>
        </a:xfrm>
        <a:prstGeom prst="rect">
          <a:avLst/>
        </a:prstGeom>
      </xdr:spPr>
    </xdr:pic>
    <xdr:clientData/>
  </xdr:twoCellAnchor>
  <xdr:twoCellAnchor>
    <xdr:from>
      <xdr:col>3</xdr:col>
      <xdr:colOff>53340</xdr:colOff>
      <xdr:row>58</xdr:row>
      <xdr:rowOff>0</xdr:rowOff>
    </xdr:from>
    <xdr:to>
      <xdr:col>7</xdr:col>
      <xdr:colOff>967740</xdr:colOff>
      <xdr:row>69</xdr:row>
      <xdr:rowOff>0</xdr:rowOff>
    </xdr:to>
    <xdr:graphicFrame macro="">
      <xdr:nvGraphicFramePr>
        <xdr:cNvPr id="4" name="차트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229293</xdr:colOff>
      <xdr:row>17</xdr:row>
      <xdr:rowOff>30480</xdr:rowOff>
    </xdr:from>
    <xdr:to>
      <xdr:col>7</xdr:col>
      <xdr:colOff>464820</xdr:colOff>
      <xdr:row>25</xdr:row>
      <xdr:rowOff>129540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5037513" y="3596640"/>
          <a:ext cx="2483427" cy="1684020"/>
        </a:xfrm>
        <a:prstGeom prst="rect">
          <a:avLst/>
        </a:prstGeom>
      </xdr:spPr>
    </xdr:pic>
    <xdr:clientData/>
  </xdr:twoCellAnchor>
  <xdr:twoCellAnchor editAs="oneCell">
    <xdr:from>
      <xdr:col>3</xdr:col>
      <xdr:colOff>26670</xdr:colOff>
      <xdr:row>17</xdr:row>
      <xdr:rowOff>13874</xdr:rowOff>
    </xdr:from>
    <xdr:to>
      <xdr:col>4</xdr:col>
      <xdr:colOff>1184385</xdr:colOff>
      <xdr:row>25</xdr:row>
      <xdr:rowOff>134295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2564130" y="3580034"/>
          <a:ext cx="2449829" cy="170538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7</xdr:col>
      <xdr:colOff>95250</xdr:colOff>
      <xdr:row>53</xdr:row>
      <xdr:rowOff>0</xdr:rowOff>
    </xdr:to>
    <xdr:sp macro="" textlink="">
      <xdr:nvSpPr>
        <xdr:cNvPr id="7170" name="AutoShape 2" hidden="1"/>
        <xdr:cNvSpPr>
          <a:spLocks noSelect="1" noChangeArrowheads="1"/>
        </xdr:cNvSpPr>
      </xdr:nvSpPr>
      <xdr:spPr>
        <a:xfrm>
          <a:off x="0" y="0"/>
          <a:ext cx="7151687" cy="10707687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95250</xdr:colOff>
      <xdr:row>51</xdr:row>
      <xdr:rowOff>190500</xdr:rowOff>
    </xdr:to>
    <xdr:sp macro="" textlink="">
      <xdr:nvSpPr>
        <xdr:cNvPr id="23553" name="AutoShape 1025" hidden="1"/>
        <xdr:cNvSpPr>
          <a:spLocks noSelect="1" noChangeArrowheads="1"/>
        </xdr:cNvSpPr>
      </xdr:nvSpPr>
      <xdr:spPr>
        <a:xfrm>
          <a:off x="0" y="0"/>
          <a:ext cx="7151687" cy="10517187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962025</xdr:colOff>
      <xdr:row>50</xdr:row>
      <xdr:rowOff>323850</xdr:rowOff>
    </xdr:to>
    <xdr:sp macro="" textlink="">
      <xdr:nvSpPr>
        <xdr:cNvPr id="23556" name="AutoShape 4" hidden="1"/>
        <xdr:cNvSpPr>
          <a:spLocks noSelect="1" noChangeArrowheads="1"/>
        </xdr:cNvSpPr>
      </xdr:nvSpPr>
      <xdr:spPr>
        <a:xfrm>
          <a:off x="0" y="0"/>
          <a:ext cx="9517062" cy="1027112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962025</xdr:colOff>
      <xdr:row>50</xdr:row>
      <xdr:rowOff>295275</xdr:rowOff>
    </xdr:to>
    <xdr:sp macro="" textlink="">
      <xdr:nvSpPr>
        <xdr:cNvPr id="23588" name="AutoShape 36" hidden="1"/>
        <xdr:cNvSpPr>
          <a:spLocks noSelect="1" noChangeArrowheads="1"/>
        </xdr:cNvSpPr>
      </xdr:nvSpPr>
      <xdr:spPr>
        <a:xfrm>
          <a:off x="0" y="0"/>
          <a:ext cx="9517062" cy="10239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962025</xdr:colOff>
      <xdr:row>50</xdr:row>
      <xdr:rowOff>266700</xdr:rowOff>
    </xdr:to>
    <xdr:sp macro="" textlink="">
      <xdr:nvSpPr>
        <xdr:cNvPr id="23603" name="AutoShape 51" hidden="1"/>
        <xdr:cNvSpPr>
          <a:spLocks noSelect="1" noChangeArrowheads="1"/>
        </xdr:cNvSpPr>
      </xdr:nvSpPr>
      <xdr:spPr>
        <a:xfrm>
          <a:off x="0" y="0"/>
          <a:ext cx="9517062" cy="10215562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76200</xdr:colOff>
      <xdr:row>39</xdr:row>
      <xdr:rowOff>7620</xdr:rowOff>
    </xdr:to>
    <xdr:sp macro="" textlink="">
      <xdr:nvSpPr>
        <xdr:cNvPr id="23607" name="AutoShape 55" hidden="1"/>
        <xdr:cNvSpPr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67310</xdr:colOff>
      <xdr:row>62</xdr:row>
      <xdr:rowOff>0</xdr:rowOff>
    </xdr:from>
    <xdr:to>
      <xdr:col>7</xdr:col>
      <xdr:colOff>448310</xdr:colOff>
      <xdr:row>73</xdr:row>
      <xdr:rowOff>220980</xdr:rowOff>
    </xdr:to>
    <xdr:graphicFrame macro="">
      <xdr:nvGraphicFramePr>
        <xdr:cNvPr id="3" name="차트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514350</xdr:colOff>
      <xdr:row>48</xdr:row>
      <xdr:rowOff>142875</xdr:rowOff>
    </xdr:to>
    <xdr:sp macro="" textlink="">
      <xdr:nvSpPr>
        <xdr:cNvPr id="4" name="AutoShape 2" hidden="1"/>
        <xdr:cNvSpPr>
          <a:spLocks noSelect="1" noChangeArrowheads="1"/>
        </xdr:cNvSpPr>
      </xdr:nvSpPr>
      <xdr:spPr>
        <a:xfrm>
          <a:off x="0" y="0"/>
          <a:ext cx="8294687" cy="9612312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 editAs="oneCell">
    <xdr:from>
      <xdr:col>5</xdr:col>
      <xdr:colOff>119845</xdr:colOff>
      <xdr:row>17</xdr:row>
      <xdr:rowOff>59574</xdr:rowOff>
    </xdr:from>
    <xdr:to>
      <xdr:col>7</xdr:col>
      <xdr:colOff>1267534</xdr:colOff>
      <xdr:row>26</xdr:row>
      <xdr:rowOff>152399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5654736" y="4035829"/>
          <a:ext cx="3399053" cy="1762297"/>
        </a:xfrm>
        <a:prstGeom prst="rect">
          <a:avLst/>
        </a:prstGeom>
      </xdr:spPr>
    </xdr:pic>
    <xdr:clientData/>
  </xdr:twoCellAnchor>
  <xdr:twoCellAnchor editAs="oneCell">
    <xdr:from>
      <xdr:col>3</xdr:col>
      <xdr:colOff>2598</xdr:colOff>
      <xdr:row>18</xdr:row>
      <xdr:rowOff>11083</xdr:rowOff>
    </xdr:from>
    <xdr:to>
      <xdr:col>5</xdr:col>
      <xdr:colOff>304800</xdr:colOff>
      <xdr:row>26</xdr:row>
      <xdr:rowOff>142201</xdr:rowOff>
    </xdr:to>
    <xdr:pic>
      <xdr:nvPicPr>
        <xdr:cNvPr id="7" name="그림 6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2773507" y="4049683"/>
          <a:ext cx="3066184" cy="173824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7</xdr:col>
      <xdr:colOff>514350</xdr:colOff>
      <xdr:row>47</xdr:row>
      <xdr:rowOff>180975</xdr:rowOff>
    </xdr:to>
    <xdr:sp macro="" textlink="">
      <xdr:nvSpPr>
        <xdr:cNvPr id="22531" name="AutoShape 3" hidden="1"/>
        <xdr:cNvSpPr>
          <a:spLocks noSelect="1" noChangeArrowheads="1"/>
        </xdr:cNvSpPr>
      </xdr:nvSpPr>
      <xdr:spPr>
        <a:xfrm>
          <a:off x="0" y="0"/>
          <a:ext cx="8294687" cy="9437687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457200</xdr:colOff>
      <xdr:row>50</xdr:row>
      <xdr:rowOff>409575</xdr:rowOff>
    </xdr:to>
    <xdr:sp macro="" textlink="">
      <xdr:nvSpPr>
        <xdr:cNvPr id="22533" name="AutoShape 1029" hidden="1"/>
        <xdr:cNvSpPr>
          <a:spLocks noSelect="1" noChangeArrowheads="1"/>
        </xdr:cNvSpPr>
      </xdr:nvSpPr>
      <xdr:spPr>
        <a:xfrm>
          <a:off x="0" y="0"/>
          <a:ext cx="9517062" cy="10152062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457200</xdr:colOff>
      <xdr:row>50</xdr:row>
      <xdr:rowOff>409575</xdr:rowOff>
    </xdr:to>
    <xdr:sp macro="" textlink="">
      <xdr:nvSpPr>
        <xdr:cNvPr id="22565" name="AutoShape 1061" hidden="1"/>
        <xdr:cNvSpPr>
          <a:spLocks noSelect="1" noChangeArrowheads="1"/>
        </xdr:cNvSpPr>
      </xdr:nvSpPr>
      <xdr:spPr>
        <a:xfrm>
          <a:off x="0" y="0"/>
          <a:ext cx="9517062" cy="10152062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457200</xdr:colOff>
      <xdr:row>50</xdr:row>
      <xdr:rowOff>409575</xdr:rowOff>
    </xdr:to>
    <xdr:sp macro="" textlink="">
      <xdr:nvSpPr>
        <xdr:cNvPr id="22580" name="AutoShape 1076" hidden="1"/>
        <xdr:cNvSpPr>
          <a:spLocks noSelect="1" noChangeArrowheads="1"/>
        </xdr:cNvSpPr>
      </xdr:nvSpPr>
      <xdr:spPr>
        <a:xfrm>
          <a:off x="0" y="0"/>
          <a:ext cx="9517062" cy="10152062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6</xdr:col>
      <xdr:colOff>906780</xdr:colOff>
      <xdr:row>37</xdr:row>
      <xdr:rowOff>30480</xdr:rowOff>
    </xdr:to>
    <xdr:sp macro="" textlink="">
      <xdr:nvSpPr>
        <xdr:cNvPr id="22584" name="AutoShape 1080" hidden="1"/>
        <xdr:cNvSpPr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38100</xdr:colOff>
      <xdr:row>61</xdr:row>
      <xdr:rowOff>0</xdr:rowOff>
    </xdr:from>
    <xdr:to>
      <xdr:col>8</xdr:col>
      <xdr:colOff>6350</xdr:colOff>
      <xdr:row>72</xdr:row>
      <xdr:rowOff>0</xdr:rowOff>
    </xdr:to>
    <xdr:graphicFrame macro="">
      <xdr:nvGraphicFramePr>
        <xdr:cNvPr id="10" name="차트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1484244</xdr:colOff>
      <xdr:row>19</xdr:row>
      <xdr:rowOff>8531</xdr:rowOff>
    </xdr:from>
    <xdr:to>
      <xdr:col>7</xdr:col>
      <xdr:colOff>479785</xdr:colOff>
      <xdr:row>26</xdr:row>
      <xdr:rowOff>197125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6036366" y="4308861"/>
          <a:ext cx="3454896" cy="1580073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</xdr:colOff>
      <xdr:row>19</xdr:row>
      <xdr:rowOff>9525</xdr:rowOff>
    </xdr:from>
    <xdr:to>
      <xdr:col>4</xdr:col>
      <xdr:colOff>1490868</xdr:colOff>
      <xdr:row>26</xdr:row>
      <xdr:rowOff>190499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3067050" y="4309855"/>
          <a:ext cx="2975941" cy="1572453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7</xdr:col>
      <xdr:colOff>228600</xdr:colOff>
      <xdr:row>56</xdr:row>
      <xdr:rowOff>171450</xdr:rowOff>
    </xdr:to>
    <xdr:sp macro="" textlink="">
      <xdr:nvSpPr>
        <xdr:cNvPr id="2050" name="AutoShape 2" hidden="1"/>
        <xdr:cNvSpPr>
          <a:spLocks noSelect="1" noChangeArrowheads="1"/>
        </xdr:cNvSpPr>
      </xdr:nvSpPr>
      <xdr:spPr>
        <a:xfrm>
          <a:off x="0" y="0"/>
          <a:ext cx="6746875" cy="10287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228600</xdr:colOff>
      <xdr:row>56</xdr:row>
      <xdr:rowOff>152400</xdr:rowOff>
    </xdr:to>
    <xdr:sp macro="" textlink="">
      <xdr:nvSpPr>
        <xdr:cNvPr id="2057" name="AutoShape 9" hidden="1"/>
        <xdr:cNvSpPr>
          <a:spLocks noSelect="1" noChangeArrowheads="1"/>
        </xdr:cNvSpPr>
      </xdr:nvSpPr>
      <xdr:spPr>
        <a:xfrm>
          <a:off x="0" y="0"/>
          <a:ext cx="6746875" cy="10263188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>
    <xdr:from>
      <xdr:col>3</xdr:col>
      <xdr:colOff>38100</xdr:colOff>
      <xdr:row>60</xdr:row>
      <xdr:rowOff>0</xdr:rowOff>
    </xdr:from>
    <xdr:to>
      <xdr:col>8</xdr:col>
      <xdr:colOff>6350</xdr:colOff>
      <xdr:row>72</xdr:row>
      <xdr:rowOff>219710</xdr:rowOff>
    </xdr:to>
    <xdr:graphicFrame macro="">
      <xdr:nvGraphicFramePr>
        <xdr:cNvPr id="6" name="차트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19050</xdr:colOff>
      <xdr:row>19</xdr:row>
      <xdr:rowOff>28575</xdr:rowOff>
    </xdr:from>
    <xdr:to>
      <xdr:col>5</xdr:col>
      <xdr:colOff>255815</xdr:colOff>
      <xdr:row>27</xdr:row>
      <xdr:rowOff>190500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2805793" y="3816804"/>
          <a:ext cx="2713264" cy="1729467"/>
        </a:xfrm>
        <a:prstGeom prst="rect">
          <a:avLst/>
        </a:prstGeom>
      </xdr:spPr>
    </xdr:pic>
    <xdr:clientData/>
  </xdr:twoCellAnchor>
  <xdr:twoCellAnchor editAs="oneCell">
    <xdr:from>
      <xdr:col>5</xdr:col>
      <xdr:colOff>642264</xdr:colOff>
      <xdr:row>19</xdr:row>
      <xdr:rowOff>28575</xdr:rowOff>
    </xdr:from>
    <xdr:to>
      <xdr:col>7</xdr:col>
      <xdr:colOff>1099464</xdr:colOff>
      <xdr:row>27</xdr:row>
      <xdr:rowOff>190500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5551721" y="3816804"/>
          <a:ext cx="2754086" cy="1729467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7</xdr:col>
      <xdr:colOff>504825</xdr:colOff>
      <xdr:row>52</xdr:row>
      <xdr:rowOff>371475</xdr:rowOff>
    </xdr:to>
    <xdr:sp macro="" textlink="">
      <xdr:nvSpPr>
        <xdr:cNvPr id="16386" name="AutoShape 2" hidden="1"/>
        <xdr:cNvSpPr>
          <a:spLocks noSelect="1" noChangeArrowheads="1"/>
        </xdr:cNvSpPr>
      </xdr:nvSpPr>
      <xdr:spPr>
        <a:xfrm>
          <a:off x="0" y="0"/>
          <a:ext cx="7318375" cy="10128249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504825</xdr:colOff>
      <xdr:row>52</xdr:row>
      <xdr:rowOff>371475</xdr:rowOff>
    </xdr:to>
    <xdr:sp macro="" textlink="">
      <xdr:nvSpPr>
        <xdr:cNvPr id="16393" name="AutoShape 1033" hidden="1"/>
        <xdr:cNvSpPr>
          <a:spLocks noSelect="1" noChangeArrowheads="1"/>
        </xdr:cNvSpPr>
      </xdr:nvSpPr>
      <xdr:spPr>
        <a:xfrm>
          <a:off x="0" y="0"/>
          <a:ext cx="7318375" cy="10128249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>
    <xdr:from>
      <xdr:col>3</xdr:col>
      <xdr:colOff>38100</xdr:colOff>
      <xdr:row>64</xdr:row>
      <xdr:rowOff>0</xdr:rowOff>
    </xdr:from>
    <xdr:to>
      <xdr:col>8</xdr:col>
      <xdr:colOff>6350</xdr:colOff>
      <xdr:row>75</xdr:row>
      <xdr:rowOff>0</xdr:rowOff>
    </xdr:to>
    <xdr:graphicFrame macro="">
      <xdr:nvGraphicFramePr>
        <xdr:cNvPr id="7" name="차트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28574</xdr:colOff>
      <xdr:row>17</xdr:row>
      <xdr:rowOff>15875</xdr:rowOff>
    </xdr:from>
    <xdr:to>
      <xdr:col>5</xdr:col>
      <xdr:colOff>313963</xdr:colOff>
      <xdr:row>25</xdr:row>
      <xdr:rowOff>171450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2981324" y="3502025"/>
          <a:ext cx="3061833" cy="2187575"/>
        </a:xfrm>
        <a:prstGeom prst="rect">
          <a:avLst/>
        </a:prstGeom>
      </xdr:spPr>
    </xdr:pic>
    <xdr:clientData/>
  </xdr:twoCellAnchor>
  <xdr:twoCellAnchor editAs="oneCell">
    <xdr:from>
      <xdr:col>4</xdr:col>
      <xdr:colOff>1110193</xdr:colOff>
      <xdr:row>16</xdr:row>
      <xdr:rowOff>53975</xdr:rowOff>
    </xdr:from>
    <xdr:to>
      <xdr:col>7</xdr:col>
      <xdr:colOff>315036</xdr:colOff>
      <xdr:row>25</xdr:row>
      <xdr:rowOff>139700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5275793" y="3476625"/>
          <a:ext cx="2859828" cy="2181225"/>
        </a:xfrm>
        <a:prstGeom prst="rect">
          <a:avLst/>
        </a:prstGeom>
      </xdr:spPr>
    </xdr:pic>
    <xdr:clientData/>
  </xdr:twoCellAnchor>
  <xdr:twoCellAnchor>
    <xdr:from>
      <xdr:col>3</xdr:col>
      <xdr:colOff>38100</xdr:colOff>
      <xdr:row>62</xdr:row>
      <xdr:rowOff>0</xdr:rowOff>
    </xdr:from>
    <xdr:to>
      <xdr:col>8</xdr:col>
      <xdr:colOff>6350</xdr:colOff>
      <xdr:row>74</xdr:row>
      <xdr:rowOff>219710</xdr:rowOff>
    </xdr:to>
    <xdr:graphicFrame macro="">
      <xdr:nvGraphicFramePr>
        <xdr:cNvPr id="7" name="차트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68</xdr:row>
      <xdr:rowOff>0</xdr:rowOff>
    </xdr:from>
    <xdr:to>
      <xdr:col>7</xdr:col>
      <xdr:colOff>548640</xdr:colOff>
      <xdr:row>80</xdr:row>
      <xdr:rowOff>251460</xdr:rowOff>
    </xdr:to>
    <xdr:graphicFrame macro="">
      <xdr:nvGraphicFramePr>
        <xdr:cNvPr id="4" name="차트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8</xdr:col>
      <xdr:colOff>183582</xdr:colOff>
      <xdr:row>24</xdr:row>
      <xdr:rowOff>201705</xdr:rowOff>
    </xdr:from>
    <xdr:to>
      <xdr:col>10</xdr:col>
      <xdr:colOff>220380</xdr:colOff>
      <xdr:row>53</xdr:row>
      <xdr:rowOff>36605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20111" y="5094940"/>
          <a:ext cx="3069857" cy="5460253"/>
        </a:xfrm>
        <a:prstGeom prst="rect">
          <a:avLst/>
        </a:prstGeom>
      </xdr:spPr>
    </xdr:pic>
    <xdr:clientData/>
  </xdr:twoCellAnchor>
  <xdr:twoCellAnchor editAs="oneCell">
    <xdr:from>
      <xdr:col>3</xdr:col>
      <xdr:colOff>65368</xdr:colOff>
      <xdr:row>19</xdr:row>
      <xdr:rowOff>91515</xdr:rowOff>
    </xdr:from>
    <xdr:to>
      <xdr:col>5</xdr:col>
      <xdr:colOff>237787</xdr:colOff>
      <xdr:row>27</xdr:row>
      <xdr:rowOff>37700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8133" y="3976221"/>
          <a:ext cx="2555536" cy="1559832"/>
        </a:xfrm>
        <a:prstGeom prst="rect">
          <a:avLst/>
        </a:prstGeom>
      </xdr:spPr>
    </xdr:pic>
    <xdr:clientData/>
  </xdr:twoCellAnchor>
  <xdr:twoCellAnchor editAs="oneCell">
    <xdr:from>
      <xdr:col>5</xdr:col>
      <xdr:colOff>544074</xdr:colOff>
      <xdr:row>19</xdr:row>
      <xdr:rowOff>92103</xdr:rowOff>
    </xdr:from>
    <xdr:to>
      <xdr:col>7</xdr:col>
      <xdr:colOff>895123</xdr:colOff>
      <xdr:row>27</xdr:row>
      <xdr:rowOff>112103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9956" y="3976809"/>
          <a:ext cx="2622108" cy="1633647"/>
        </a:xfrm>
        <a:prstGeom prst="rect">
          <a:avLst/>
        </a:prstGeom>
      </xdr:spPr>
    </xdr:pic>
    <xdr:clientData/>
  </xdr:twoCellAnchor>
  <xdr:twoCellAnchor editAs="oneCell">
    <xdr:from>
      <xdr:col>8</xdr:col>
      <xdr:colOff>257044</xdr:colOff>
      <xdr:row>15</xdr:row>
      <xdr:rowOff>44133</xdr:rowOff>
    </xdr:from>
    <xdr:to>
      <xdr:col>9</xdr:col>
      <xdr:colOff>866588</xdr:colOff>
      <xdr:row>23</xdr:row>
      <xdr:rowOff>167580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80338" y="3263957"/>
          <a:ext cx="2619132" cy="159515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342900</xdr:colOff>
      <xdr:row>19</xdr:row>
      <xdr:rowOff>9525</xdr:rowOff>
    </xdr:from>
    <xdr:to>
      <xdr:col>7</xdr:col>
      <xdr:colOff>173318</xdr:colOff>
      <xdr:row>27</xdr:row>
      <xdr:rowOff>182880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5056187" y="3698874"/>
          <a:ext cx="2095499" cy="1706562"/>
        </a:xfrm>
        <a:prstGeom prst="rect">
          <a:avLst/>
        </a:prstGeom>
      </xdr:spPr>
    </xdr:pic>
    <xdr:clientData/>
  </xdr:twoCellAnchor>
  <xdr:twoCellAnchor editAs="oneCell">
    <xdr:from>
      <xdr:col>3</xdr:col>
      <xdr:colOff>28575</xdr:colOff>
      <xdr:row>19</xdr:row>
      <xdr:rowOff>9525</xdr:rowOff>
    </xdr:from>
    <xdr:to>
      <xdr:col>4</xdr:col>
      <xdr:colOff>1031688</xdr:colOff>
      <xdr:row>27</xdr:row>
      <xdr:rowOff>190500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2746374" y="3698874"/>
          <a:ext cx="2389187" cy="1706562"/>
        </a:xfrm>
        <a:prstGeom prst="rect">
          <a:avLst/>
        </a:prstGeom>
      </xdr:spPr>
    </xdr:pic>
    <xdr:clientData/>
  </xdr:twoCellAnchor>
  <xdr:twoCellAnchor>
    <xdr:from>
      <xdr:col>3</xdr:col>
      <xdr:colOff>53340</xdr:colOff>
      <xdr:row>68</xdr:row>
      <xdr:rowOff>0</xdr:rowOff>
    </xdr:from>
    <xdr:to>
      <xdr:col>7</xdr:col>
      <xdr:colOff>967740</xdr:colOff>
      <xdr:row>79</xdr:row>
      <xdr:rowOff>0</xdr:rowOff>
    </xdr:to>
    <xdr:graphicFrame macro="">
      <xdr:nvGraphicFramePr>
        <xdr:cNvPr id="4" name="차트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60</xdr:row>
      <xdr:rowOff>0</xdr:rowOff>
    </xdr:from>
    <xdr:to>
      <xdr:col>8</xdr:col>
      <xdr:colOff>0</xdr:colOff>
      <xdr:row>72</xdr:row>
      <xdr:rowOff>219710</xdr:rowOff>
    </xdr:to>
    <xdr:graphicFrame macro="">
      <xdr:nvGraphicFramePr>
        <xdr:cNvPr id="4" name="차트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432001</xdr:colOff>
      <xdr:row>19</xdr:row>
      <xdr:rowOff>118869</xdr:rowOff>
    </xdr:from>
    <xdr:to>
      <xdr:col>5</xdr:col>
      <xdr:colOff>1251861</xdr:colOff>
      <xdr:row>26</xdr:row>
      <xdr:rowOff>84460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5215" y="4455012"/>
          <a:ext cx="2470860" cy="1362591"/>
        </a:xfrm>
        <a:prstGeom prst="rect">
          <a:avLst/>
        </a:prstGeom>
      </xdr:spPr>
    </xdr:pic>
    <xdr:clientData/>
  </xdr:twoCellAnchor>
  <xdr:twoCellAnchor editAs="oneCell">
    <xdr:from>
      <xdr:col>3</xdr:col>
      <xdr:colOff>36285</xdr:colOff>
      <xdr:row>19</xdr:row>
      <xdr:rowOff>127000</xdr:rowOff>
    </xdr:from>
    <xdr:to>
      <xdr:col>4</xdr:col>
      <xdr:colOff>403999</xdr:colOff>
      <xdr:row>26</xdr:row>
      <xdr:rowOff>81964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5435" y="4502150"/>
          <a:ext cx="1866315" cy="1377364"/>
        </a:xfrm>
        <a:prstGeom prst="rect">
          <a:avLst/>
        </a:prstGeom>
      </xdr:spPr>
    </xdr:pic>
    <xdr:clientData/>
  </xdr:twoCellAnchor>
  <xdr:twoCellAnchor editAs="oneCell">
    <xdr:from>
      <xdr:col>5</xdr:col>
      <xdr:colOff>1250950</xdr:colOff>
      <xdr:row>19</xdr:row>
      <xdr:rowOff>6350</xdr:rowOff>
    </xdr:from>
    <xdr:to>
      <xdr:col>7</xdr:col>
      <xdr:colOff>462642</xdr:colOff>
      <xdr:row>26</xdr:row>
      <xdr:rowOff>180537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59700" y="4381500"/>
          <a:ext cx="2012041" cy="1596587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45322</xdr:colOff>
      <xdr:row>16</xdr:row>
      <xdr:rowOff>29882</xdr:rowOff>
    </xdr:from>
    <xdr:to>
      <xdr:col>4</xdr:col>
      <xdr:colOff>993588</xdr:colOff>
      <xdr:row>25</xdr:row>
      <xdr:rowOff>166038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3220322" y="3309470"/>
          <a:ext cx="2337795" cy="1951509"/>
        </a:xfrm>
        <a:prstGeom prst="rect">
          <a:avLst/>
        </a:prstGeom>
      </xdr:spPr>
    </xdr:pic>
    <xdr:clientData/>
  </xdr:twoCellAnchor>
  <xdr:twoCellAnchor editAs="oneCell">
    <xdr:from>
      <xdr:col>4</xdr:col>
      <xdr:colOff>1036076</xdr:colOff>
      <xdr:row>16</xdr:row>
      <xdr:rowOff>14940</xdr:rowOff>
    </xdr:from>
    <xdr:to>
      <xdr:col>7</xdr:col>
      <xdr:colOff>612589</xdr:colOff>
      <xdr:row>25</xdr:row>
      <xdr:rowOff>172866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5600605" y="3294528"/>
          <a:ext cx="2915866" cy="1973279"/>
        </a:xfrm>
        <a:prstGeom prst="rect">
          <a:avLst/>
        </a:prstGeom>
      </xdr:spPr>
    </xdr:pic>
    <xdr:clientData/>
  </xdr:twoCellAnchor>
  <xdr:twoCellAnchor>
    <xdr:from>
      <xdr:col>3</xdr:col>
      <xdr:colOff>38101</xdr:colOff>
      <xdr:row>60</xdr:row>
      <xdr:rowOff>0</xdr:rowOff>
    </xdr:from>
    <xdr:to>
      <xdr:col>8</xdr:col>
      <xdr:colOff>0</xdr:colOff>
      <xdr:row>70</xdr:row>
      <xdr:rowOff>179294</xdr:rowOff>
    </xdr:to>
    <xdr:graphicFrame macro="">
      <xdr:nvGraphicFramePr>
        <xdr:cNvPr id="6" name="차트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9525</xdr:colOff>
      <xdr:row>17</xdr:row>
      <xdr:rowOff>38100</xdr:rowOff>
    </xdr:from>
    <xdr:to>
      <xdr:col>5</xdr:col>
      <xdr:colOff>355598</xdr:colOff>
      <xdr:row>25</xdr:row>
      <xdr:rowOff>133350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2540000" y="3349625"/>
          <a:ext cx="2714625" cy="1619250"/>
        </a:xfrm>
        <a:prstGeom prst="rect">
          <a:avLst/>
        </a:prstGeom>
      </xdr:spPr>
    </xdr:pic>
    <xdr:clientData/>
  </xdr:twoCellAnchor>
  <xdr:twoCellAnchor editAs="oneCell">
    <xdr:from>
      <xdr:col>5</xdr:col>
      <xdr:colOff>371475</xdr:colOff>
      <xdr:row>17</xdr:row>
      <xdr:rowOff>38100</xdr:rowOff>
    </xdr:from>
    <xdr:to>
      <xdr:col>7</xdr:col>
      <xdr:colOff>206377</xdr:colOff>
      <xdr:row>25</xdr:row>
      <xdr:rowOff>133350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4905375" y="3349625"/>
          <a:ext cx="2079625" cy="1619250"/>
        </a:xfrm>
        <a:prstGeom prst="rect">
          <a:avLst/>
        </a:prstGeom>
      </xdr:spPr>
    </xdr:pic>
    <xdr:clientData/>
  </xdr:twoCellAnchor>
  <xdr:twoCellAnchor>
    <xdr:from>
      <xdr:col>3</xdr:col>
      <xdr:colOff>38100</xdr:colOff>
      <xdr:row>59</xdr:row>
      <xdr:rowOff>0</xdr:rowOff>
    </xdr:from>
    <xdr:to>
      <xdr:col>7</xdr:col>
      <xdr:colOff>1009650</xdr:colOff>
      <xdr:row>70</xdr:row>
      <xdr:rowOff>0</xdr:rowOff>
    </xdr:to>
    <xdr:graphicFrame macro="">
      <xdr:nvGraphicFramePr>
        <xdr:cNvPr id="6" name="차트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352425</xdr:colOff>
      <xdr:row>19</xdr:row>
      <xdr:rowOff>190500</xdr:rowOff>
    </xdr:from>
    <xdr:to>
      <xdr:col>7</xdr:col>
      <xdr:colOff>284628</xdr:colOff>
      <xdr:row>27</xdr:row>
      <xdr:rowOff>123825</xdr:rowOff>
    </xdr:to>
    <xdr:pic>
      <xdr:nvPicPr>
        <xdr:cNvPr id="7" name="그림 6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5103812" y="3897312"/>
          <a:ext cx="2206625" cy="1460500"/>
        </a:xfrm>
        <a:prstGeom prst="rect">
          <a:avLst/>
        </a:prstGeom>
      </xdr:spPr>
    </xdr:pic>
    <xdr:clientData/>
  </xdr:twoCellAnchor>
  <xdr:twoCellAnchor editAs="oneCell">
    <xdr:from>
      <xdr:col>3</xdr:col>
      <xdr:colOff>57150</xdr:colOff>
      <xdr:row>19</xdr:row>
      <xdr:rowOff>190500</xdr:rowOff>
    </xdr:from>
    <xdr:to>
      <xdr:col>5</xdr:col>
      <xdr:colOff>169210</xdr:colOff>
      <xdr:row>27</xdr:row>
      <xdr:rowOff>123825</xdr:rowOff>
    </xdr:to>
    <xdr:pic>
      <xdr:nvPicPr>
        <xdr:cNvPr id="8" name="그림 7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2809875" y="3897312"/>
          <a:ext cx="2516187" cy="146050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7</xdr:col>
      <xdr:colOff>66675</xdr:colOff>
      <xdr:row>49</xdr:row>
      <xdr:rowOff>190500</xdr:rowOff>
    </xdr:to>
    <xdr:sp macro="" textlink="">
      <xdr:nvSpPr>
        <xdr:cNvPr id="28673" name="AutoShape 1025" hidden="1"/>
        <xdr:cNvSpPr>
          <a:spLocks noSelect="1" noChangeArrowheads="1"/>
        </xdr:cNvSpPr>
      </xdr:nvSpPr>
      <xdr:spPr>
        <a:xfrm>
          <a:off x="0" y="0"/>
          <a:ext cx="6802437" cy="9469437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85725</xdr:colOff>
      <xdr:row>55</xdr:row>
      <xdr:rowOff>0</xdr:rowOff>
    </xdr:to>
    <xdr:sp macro="" textlink="">
      <xdr:nvSpPr>
        <xdr:cNvPr id="28679" name="AutoShape 1031" hidden="1"/>
        <xdr:cNvSpPr>
          <a:spLocks noSelect="1" noChangeArrowheads="1"/>
        </xdr:cNvSpPr>
      </xdr:nvSpPr>
      <xdr:spPr>
        <a:xfrm>
          <a:off x="0" y="0"/>
          <a:ext cx="6826249" cy="10421937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>
    <xdr:from>
      <xdr:col>3</xdr:col>
      <xdr:colOff>38100</xdr:colOff>
      <xdr:row>90</xdr:row>
      <xdr:rowOff>0</xdr:rowOff>
    </xdr:from>
    <xdr:to>
      <xdr:col>7</xdr:col>
      <xdr:colOff>548640</xdr:colOff>
      <xdr:row>102</xdr:row>
      <xdr:rowOff>251460</xdr:rowOff>
    </xdr:to>
    <xdr:graphicFrame macro="">
      <xdr:nvGraphicFramePr>
        <xdr:cNvPr id="6" name="차트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19050</xdr:colOff>
      <xdr:row>19</xdr:row>
      <xdr:rowOff>0</xdr:rowOff>
    </xdr:from>
    <xdr:to>
      <xdr:col>5</xdr:col>
      <xdr:colOff>538870</xdr:colOff>
      <xdr:row>27</xdr:row>
      <xdr:rowOff>190500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2788227" y="3714750"/>
          <a:ext cx="2978727" cy="1714500"/>
        </a:xfrm>
        <a:prstGeom prst="rect">
          <a:avLst/>
        </a:prstGeom>
      </xdr:spPr>
    </xdr:pic>
    <xdr:clientData/>
  </xdr:twoCellAnchor>
  <xdr:twoCellAnchor editAs="oneCell">
    <xdr:from>
      <xdr:col>6</xdr:col>
      <xdr:colOff>9525</xdr:colOff>
      <xdr:row>19</xdr:row>
      <xdr:rowOff>0</xdr:rowOff>
    </xdr:from>
    <xdr:to>
      <xdr:col>7</xdr:col>
      <xdr:colOff>1247775</xdr:colOff>
      <xdr:row>28</xdr:row>
      <xdr:rowOff>0</xdr:rowOff>
    </xdr:to>
    <xdr:pic>
      <xdr:nvPicPr>
        <xdr:cNvPr id="7" name="그림 6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5766954" y="3714750"/>
          <a:ext cx="2311977" cy="171450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390525</xdr:colOff>
      <xdr:row>53</xdr:row>
      <xdr:rowOff>9525</xdr:rowOff>
    </xdr:to>
    <xdr:sp macro="" textlink="">
      <xdr:nvSpPr>
        <xdr:cNvPr id="15363" name="AutoShape 3" hidden="1"/>
        <xdr:cNvSpPr>
          <a:spLocks noSelect="1" noChangeArrowheads="1"/>
        </xdr:cNvSpPr>
      </xdr:nvSpPr>
      <xdr:spPr>
        <a:xfrm>
          <a:off x="0" y="0"/>
          <a:ext cx="9525000" cy="10122477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390525</xdr:colOff>
      <xdr:row>53</xdr:row>
      <xdr:rowOff>9525</xdr:rowOff>
    </xdr:to>
    <xdr:sp macro="" textlink="">
      <xdr:nvSpPr>
        <xdr:cNvPr id="30721" name="AutoShape 1025" hidden="1"/>
        <xdr:cNvSpPr>
          <a:spLocks noSelect="1" noChangeArrowheads="1"/>
        </xdr:cNvSpPr>
      </xdr:nvSpPr>
      <xdr:spPr>
        <a:xfrm>
          <a:off x="0" y="0"/>
          <a:ext cx="9525000" cy="10122477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400050</xdr:colOff>
      <xdr:row>53</xdr:row>
      <xdr:rowOff>57150</xdr:rowOff>
    </xdr:to>
    <xdr:sp macro="" textlink="">
      <xdr:nvSpPr>
        <xdr:cNvPr id="30727" name="AutoShape 7" hidden="1"/>
        <xdr:cNvSpPr>
          <a:spLocks noSelect="1" noChangeArrowheads="1"/>
        </xdr:cNvSpPr>
      </xdr:nvSpPr>
      <xdr:spPr>
        <a:xfrm>
          <a:off x="0" y="0"/>
          <a:ext cx="9533659" cy="1017443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400050</xdr:colOff>
      <xdr:row>53</xdr:row>
      <xdr:rowOff>57150</xdr:rowOff>
    </xdr:to>
    <xdr:sp macro="" textlink="">
      <xdr:nvSpPr>
        <xdr:cNvPr id="30741" name="AutoShape 21" hidden="1"/>
        <xdr:cNvSpPr>
          <a:spLocks noSelect="1" noChangeArrowheads="1"/>
        </xdr:cNvSpPr>
      </xdr:nvSpPr>
      <xdr:spPr>
        <a:xfrm>
          <a:off x="0" y="0"/>
          <a:ext cx="9533659" cy="1017443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9</xdr:col>
      <xdr:colOff>400050</xdr:colOff>
      <xdr:row>53</xdr:row>
      <xdr:rowOff>57150</xdr:rowOff>
    </xdr:to>
    <xdr:sp macro="" textlink="">
      <xdr:nvSpPr>
        <xdr:cNvPr id="30756" name="AutoShape 36" hidden="1"/>
        <xdr:cNvSpPr>
          <a:spLocks noSelect="1" noChangeArrowheads="1"/>
        </xdr:cNvSpPr>
      </xdr:nvSpPr>
      <xdr:spPr>
        <a:xfrm>
          <a:off x="0" y="0"/>
          <a:ext cx="9533659" cy="10174431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>
    <xdr:from>
      <xdr:col>3</xdr:col>
      <xdr:colOff>23158</xdr:colOff>
      <xdr:row>66</xdr:row>
      <xdr:rowOff>0</xdr:rowOff>
    </xdr:from>
    <xdr:to>
      <xdr:col>7</xdr:col>
      <xdr:colOff>1283820</xdr:colOff>
      <xdr:row>75</xdr:row>
      <xdr:rowOff>10533</xdr:rowOff>
    </xdr:to>
    <xdr:graphicFrame macro="">
      <xdr:nvGraphicFramePr>
        <xdr:cNvPr id="9" name="차트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19050</xdr:colOff>
      <xdr:row>19</xdr:row>
      <xdr:rowOff>9525</xdr:rowOff>
    </xdr:from>
    <xdr:to>
      <xdr:col>5</xdr:col>
      <xdr:colOff>218702</xdr:colOff>
      <xdr:row>28</xdr:row>
      <xdr:rowOff>0</xdr:rowOff>
    </xdr:to>
    <xdr:pic>
      <xdr:nvPicPr>
        <xdr:cNvPr id="2" name="그림 5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3055937" y="3714749"/>
          <a:ext cx="2968625" cy="1706562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400050</xdr:colOff>
      <xdr:row>53</xdr:row>
      <xdr:rowOff>57150</xdr:rowOff>
    </xdr:to>
    <xdr:sp macro="" textlink="">
      <xdr:nvSpPr>
        <xdr:cNvPr id="3" name="AutoShape 3" hidden="1"/>
        <xdr:cNvSpPr>
          <a:spLocks noSelect="1" noChangeArrowheads="1"/>
        </xdr:cNvSpPr>
      </xdr:nvSpPr>
      <xdr:spPr>
        <a:xfrm>
          <a:off x="0" y="0"/>
          <a:ext cx="9779000" cy="101441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 editAs="oneCell">
    <xdr:from>
      <xdr:col>6</xdr:col>
      <xdr:colOff>19050</xdr:colOff>
      <xdr:row>19</xdr:row>
      <xdr:rowOff>28575</xdr:rowOff>
    </xdr:from>
    <xdr:to>
      <xdr:col>7</xdr:col>
      <xdr:colOff>1247775</xdr:colOff>
      <xdr:row>27</xdr:row>
      <xdr:rowOff>190500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6032500" y="3738562"/>
          <a:ext cx="2293937" cy="1682749"/>
        </a:xfrm>
        <a:prstGeom prst="rect">
          <a:avLst/>
        </a:prstGeom>
      </xdr:spPr>
    </xdr:pic>
    <xdr:clientData/>
  </xdr:twoCellAnchor>
  <xdr:twoCellAnchor>
    <xdr:from>
      <xdr:col>3</xdr:col>
      <xdr:colOff>23158</xdr:colOff>
      <xdr:row>66</xdr:row>
      <xdr:rowOff>0</xdr:rowOff>
    </xdr:from>
    <xdr:to>
      <xdr:col>7</xdr:col>
      <xdr:colOff>1283820</xdr:colOff>
      <xdr:row>75</xdr:row>
      <xdr:rowOff>10533</xdr:rowOff>
    </xdr:to>
    <xdr:graphicFrame macro="">
      <xdr:nvGraphicFramePr>
        <xdr:cNvPr id="6" name="차트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19050</xdr:colOff>
      <xdr:row>18</xdr:row>
      <xdr:rowOff>54350</xdr:rowOff>
    </xdr:from>
    <xdr:to>
      <xdr:col>5</xdr:col>
      <xdr:colOff>532467</xdr:colOff>
      <xdr:row>27</xdr:row>
      <xdr:rowOff>179295</xdr:rowOff>
    </xdr:to>
    <xdr:pic>
      <xdr:nvPicPr>
        <xdr:cNvPr id="2" name="그림 5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3477932" y="3856879"/>
          <a:ext cx="2963770" cy="180582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9</xdr:col>
      <xdr:colOff>400050</xdr:colOff>
      <xdr:row>49</xdr:row>
      <xdr:rowOff>57150</xdr:rowOff>
    </xdr:to>
    <xdr:sp macro="" textlink="">
      <xdr:nvSpPr>
        <xdr:cNvPr id="4" name="AutoShape 3" hidden="1"/>
        <xdr:cNvSpPr>
          <a:spLocks noSelect="1" noChangeArrowheads="1"/>
        </xdr:cNvSpPr>
      </xdr:nvSpPr>
      <xdr:spPr>
        <a:xfrm>
          <a:off x="0" y="0"/>
          <a:ext cx="9779000" cy="938212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 editAs="oneCell">
    <xdr:from>
      <xdr:col>5</xdr:col>
      <xdr:colOff>723900</xdr:colOff>
      <xdr:row>19</xdr:row>
      <xdr:rowOff>9525</xdr:rowOff>
    </xdr:from>
    <xdr:to>
      <xdr:col>7</xdr:col>
      <xdr:colOff>963893</xdr:colOff>
      <xdr:row>28</xdr:row>
      <xdr:rowOff>9525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5818187" y="3714749"/>
          <a:ext cx="2508249" cy="1714500"/>
        </a:xfrm>
        <a:prstGeom prst="rect">
          <a:avLst/>
        </a:prstGeom>
      </xdr:spPr>
    </xdr:pic>
    <xdr:clientData/>
  </xdr:twoCellAnchor>
  <xdr:twoCellAnchor>
    <xdr:from>
      <xdr:col>3</xdr:col>
      <xdr:colOff>23158</xdr:colOff>
      <xdr:row>58</xdr:row>
      <xdr:rowOff>0</xdr:rowOff>
    </xdr:from>
    <xdr:to>
      <xdr:col>7</xdr:col>
      <xdr:colOff>1283820</xdr:colOff>
      <xdr:row>69</xdr:row>
      <xdr:rowOff>10533</xdr:rowOff>
    </xdr:to>
    <xdr:graphicFrame macro="">
      <xdr:nvGraphicFramePr>
        <xdr:cNvPr id="5" name="차트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676275</xdr:colOff>
      <xdr:row>19</xdr:row>
      <xdr:rowOff>28575</xdr:rowOff>
    </xdr:from>
    <xdr:to>
      <xdr:col>7</xdr:col>
      <xdr:colOff>716242</xdr:colOff>
      <xdr:row>27</xdr:row>
      <xdr:rowOff>198782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5429250" y="3738562"/>
          <a:ext cx="2309812" cy="1682749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19</xdr:row>
      <xdr:rowOff>28575</xdr:rowOff>
    </xdr:from>
    <xdr:to>
      <xdr:col>5</xdr:col>
      <xdr:colOff>242234</xdr:colOff>
      <xdr:row>27</xdr:row>
      <xdr:rowOff>190500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xfrm>
          <a:off x="2793999" y="3738562"/>
          <a:ext cx="2595562" cy="1682749"/>
        </a:xfrm>
        <a:prstGeom prst="rect">
          <a:avLst/>
        </a:prstGeom>
      </xdr:spPr>
    </xdr:pic>
    <xdr:clientData/>
  </xdr:twoCellAnchor>
  <xdr:twoCellAnchor>
    <xdr:from>
      <xdr:col>3</xdr:col>
      <xdr:colOff>38100</xdr:colOff>
      <xdr:row>72</xdr:row>
      <xdr:rowOff>0</xdr:rowOff>
    </xdr:from>
    <xdr:to>
      <xdr:col>7</xdr:col>
      <xdr:colOff>548640</xdr:colOff>
      <xdr:row>84</xdr:row>
      <xdr:rowOff>251460</xdr:rowOff>
    </xdr:to>
    <xdr:graphicFrame macro="">
      <xdr:nvGraphicFramePr>
        <xdr:cNvPr id="6" name="차트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51</xdr:row>
      <xdr:rowOff>0</xdr:rowOff>
    </xdr:from>
    <xdr:to>
      <xdr:col>8</xdr:col>
      <xdr:colOff>0</xdr:colOff>
      <xdr:row>61</xdr:row>
      <xdr:rowOff>219710</xdr:rowOff>
    </xdr:to>
    <xdr:graphicFrame macro="">
      <xdr:nvGraphicFramePr>
        <xdr:cNvPr id="2" name="차트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616860</xdr:colOff>
      <xdr:row>19</xdr:row>
      <xdr:rowOff>27214</xdr:rowOff>
    </xdr:from>
    <xdr:to>
      <xdr:col>5</xdr:col>
      <xdr:colOff>1188359</xdr:colOff>
      <xdr:row>26</xdr:row>
      <xdr:rowOff>177050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70074" y="4363357"/>
          <a:ext cx="2222499" cy="1546836"/>
        </a:xfrm>
        <a:prstGeom prst="rect">
          <a:avLst/>
        </a:prstGeom>
      </xdr:spPr>
    </xdr:pic>
    <xdr:clientData/>
  </xdr:twoCellAnchor>
  <xdr:twoCellAnchor editAs="oneCell">
    <xdr:from>
      <xdr:col>3</xdr:col>
      <xdr:colOff>50214</xdr:colOff>
      <xdr:row>19</xdr:row>
      <xdr:rowOff>22999</xdr:rowOff>
    </xdr:from>
    <xdr:to>
      <xdr:col>4</xdr:col>
      <xdr:colOff>791884</xdr:colOff>
      <xdr:row>26</xdr:row>
      <xdr:rowOff>172357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6643" y="4359142"/>
          <a:ext cx="2238455" cy="1546358"/>
        </a:xfrm>
        <a:prstGeom prst="rect">
          <a:avLst/>
        </a:prstGeom>
      </xdr:spPr>
    </xdr:pic>
    <xdr:clientData/>
  </xdr:twoCellAnchor>
  <xdr:twoCellAnchor editAs="oneCell">
    <xdr:from>
      <xdr:col>5</xdr:col>
      <xdr:colOff>1106715</xdr:colOff>
      <xdr:row>19</xdr:row>
      <xdr:rowOff>36286</xdr:rowOff>
    </xdr:from>
    <xdr:to>
      <xdr:col>7</xdr:col>
      <xdr:colOff>480785</xdr:colOff>
      <xdr:row>26</xdr:row>
      <xdr:rowOff>172357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10929" y="4372429"/>
          <a:ext cx="2177142" cy="1533071"/>
        </a:xfrm>
        <a:prstGeom prst="rect">
          <a:avLst/>
        </a:prstGeom>
      </xdr:spPr>
    </xdr:pic>
    <xdr:clientData/>
  </xdr:twoCellAnchor>
  <xdr:twoCellAnchor editAs="oneCell">
    <xdr:from>
      <xdr:col>8</xdr:col>
      <xdr:colOff>90714</xdr:colOff>
      <xdr:row>0</xdr:row>
      <xdr:rowOff>0</xdr:rowOff>
    </xdr:from>
    <xdr:to>
      <xdr:col>13</xdr:col>
      <xdr:colOff>562925</xdr:colOff>
      <xdr:row>9</xdr:row>
      <xdr:rowOff>122583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7857" y="0"/>
          <a:ext cx="6585288" cy="2317869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54</xdr:row>
      <xdr:rowOff>0</xdr:rowOff>
    </xdr:from>
    <xdr:to>
      <xdr:col>8</xdr:col>
      <xdr:colOff>0</xdr:colOff>
      <xdr:row>64</xdr:row>
      <xdr:rowOff>219710</xdr:rowOff>
    </xdr:to>
    <xdr:graphicFrame macro="">
      <xdr:nvGraphicFramePr>
        <xdr:cNvPr id="2" name="차트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202773</xdr:colOff>
      <xdr:row>19</xdr:row>
      <xdr:rowOff>36286</xdr:rowOff>
    </xdr:from>
    <xdr:to>
      <xdr:col>7</xdr:col>
      <xdr:colOff>996255</xdr:colOff>
      <xdr:row>26</xdr:row>
      <xdr:rowOff>172357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36538" y="4399110"/>
          <a:ext cx="2168070" cy="1548012"/>
        </a:xfrm>
        <a:prstGeom prst="rect">
          <a:avLst/>
        </a:prstGeom>
      </xdr:spPr>
    </xdr:pic>
    <xdr:clientData/>
  </xdr:twoCellAnchor>
  <xdr:twoCellAnchor editAs="oneCell">
    <xdr:from>
      <xdr:col>3</xdr:col>
      <xdr:colOff>37354</xdr:colOff>
      <xdr:row>19</xdr:row>
      <xdr:rowOff>37353</xdr:rowOff>
    </xdr:from>
    <xdr:to>
      <xdr:col>4</xdr:col>
      <xdr:colOff>1083235</xdr:colOff>
      <xdr:row>26</xdr:row>
      <xdr:rowOff>177561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9119" y="4400177"/>
          <a:ext cx="2547469" cy="1552149"/>
        </a:xfrm>
        <a:prstGeom prst="rect">
          <a:avLst/>
        </a:prstGeom>
      </xdr:spPr>
    </xdr:pic>
    <xdr:clientData/>
  </xdr:twoCellAnchor>
  <xdr:twoCellAnchor editAs="oneCell">
    <xdr:from>
      <xdr:col>4</xdr:col>
      <xdr:colOff>1135529</xdr:colOff>
      <xdr:row>19</xdr:row>
      <xdr:rowOff>22412</xdr:rowOff>
    </xdr:from>
    <xdr:to>
      <xdr:col>6</xdr:col>
      <xdr:colOff>154109</xdr:colOff>
      <xdr:row>26</xdr:row>
      <xdr:rowOff>176451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98882" y="4385236"/>
          <a:ext cx="2088992" cy="1565980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55</xdr:row>
      <xdr:rowOff>0</xdr:rowOff>
    </xdr:from>
    <xdr:to>
      <xdr:col>7</xdr:col>
      <xdr:colOff>1115785</xdr:colOff>
      <xdr:row>67</xdr:row>
      <xdr:rowOff>219710</xdr:rowOff>
    </xdr:to>
    <xdr:graphicFrame macro="">
      <xdr:nvGraphicFramePr>
        <xdr:cNvPr id="2" name="차트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1037579</xdr:colOff>
      <xdr:row>19</xdr:row>
      <xdr:rowOff>36283</xdr:rowOff>
    </xdr:from>
    <xdr:to>
      <xdr:col>6</xdr:col>
      <xdr:colOff>662214</xdr:colOff>
      <xdr:row>27</xdr:row>
      <xdr:rowOff>177740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0793" y="4372426"/>
          <a:ext cx="2699850" cy="1738028"/>
        </a:xfrm>
        <a:prstGeom prst="rect">
          <a:avLst/>
        </a:prstGeom>
      </xdr:spPr>
    </xdr:pic>
    <xdr:clientData/>
  </xdr:twoCellAnchor>
  <xdr:twoCellAnchor editAs="oneCell">
    <xdr:from>
      <xdr:col>3</xdr:col>
      <xdr:colOff>36608</xdr:colOff>
      <xdr:row>19</xdr:row>
      <xdr:rowOff>34956</xdr:rowOff>
    </xdr:from>
    <xdr:to>
      <xdr:col>4</xdr:col>
      <xdr:colOff>988786</xdr:colOff>
      <xdr:row>27</xdr:row>
      <xdr:rowOff>174922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3037" y="4371099"/>
          <a:ext cx="2448963" cy="1736537"/>
        </a:xfrm>
        <a:prstGeom prst="rect">
          <a:avLst/>
        </a:prstGeom>
      </xdr:spPr>
    </xdr:pic>
    <xdr:clientData/>
  </xdr:twoCellAnchor>
  <xdr:twoCellAnchor editAs="oneCell">
    <xdr:from>
      <xdr:col>8</xdr:col>
      <xdr:colOff>335643</xdr:colOff>
      <xdr:row>17</xdr:row>
      <xdr:rowOff>63500</xdr:rowOff>
    </xdr:from>
    <xdr:to>
      <xdr:col>12</xdr:col>
      <xdr:colOff>422553</xdr:colOff>
      <xdr:row>36</xdr:row>
      <xdr:rowOff>13216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32786" y="3918857"/>
          <a:ext cx="5239482" cy="3696216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45035</xdr:colOff>
      <xdr:row>89</xdr:row>
      <xdr:rowOff>69585</xdr:rowOff>
    </xdr:from>
    <xdr:to>
      <xdr:col>11</xdr:col>
      <xdr:colOff>845654</xdr:colOff>
      <xdr:row>123</xdr:row>
      <xdr:rowOff>197438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53388" y="18835703"/>
          <a:ext cx="6149561" cy="6985853"/>
        </a:xfrm>
        <a:prstGeom prst="rect">
          <a:avLst/>
        </a:prstGeom>
      </xdr:spPr>
    </xdr:pic>
    <xdr:clientData/>
  </xdr:twoCellAnchor>
  <xdr:twoCellAnchor>
    <xdr:from>
      <xdr:col>3</xdr:col>
      <xdr:colOff>46991</xdr:colOff>
      <xdr:row>59</xdr:row>
      <xdr:rowOff>42582</xdr:rowOff>
    </xdr:from>
    <xdr:to>
      <xdr:col>7</xdr:col>
      <xdr:colOff>448235</xdr:colOff>
      <xdr:row>69</xdr:row>
      <xdr:rowOff>194235</xdr:rowOff>
    </xdr:to>
    <xdr:graphicFrame macro="">
      <xdr:nvGraphicFramePr>
        <xdr:cNvPr id="6" name="차트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7</xdr:col>
      <xdr:colOff>239057</xdr:colOff>
      <xdr:row>124</xdr:row>
      <xdr:rowOff>89647</xdr:rowOff>
    </xdr:from>
    <xdr:to>
      <xdr:col>10</xdr:col>
      <xdr:colOff>781129</xdr:colOff>
      <xdr:row>157</xdr:row>
      <xdr:rowOff>127000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47410" y="25915471"/>
          <a:ext cx="4867543" cy="6708588"/>
        </a:xfrm>
        <a:prstGeom prst="rect">
          <a:avLst/>
        </a:prstGeom>
      </xdr:spPr>
    </xdr:pic>
    <xdr:clientData/>
  </xdr:twoCellAnchor>
  <xdr:twoCellAnchor editAs="oneCell">
    <xdr:from>
      <xdr:col>1</xdr:col>
      <xdr:colOff>560295</xdr:colOff>
      <xdr:row>114</xdr:row>
      <xdr:rowOff>76467</xdr:rowOff>
    </xdr:from>
    <xdr:to>
      <xdr:col>5</xdr:col>
      <xdr:colOff>891242</xdr:colOff>
      <xdr:row>142</xdr:row>
      <xdr:rowOff>27161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24" y="23885232"/>
          <a:ext cx="6718300" cy="5613400"/>
        </a:xfrm>
        <a:prstGeom prst="rect">
          <a:avLst/>
        </a:prstGeom>
      </xdr:spPr>
    </xdr:pic>
    <xdr:clientData/>
  </xdr:twoCellAnchor>
  <xdr:twoCellAnchor editAs="oneCell">
    <xdr:from>
      <xdr:col>1</xdr:col>
      <xdr:colOff>956237</xdr:colOff>
      <xdr:row>142</xdr:row>
      <xdr:rowOff>141940</xdr:rowOff>
    </xdr:from>
    <xdr:to>
      <xdr:col>5</xdr:col>
      <xdr:colOff>87318</xdr:colOff>
      <xdr:row>170</xdr:row>
      <xdr:rowOff>50712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9766" y="29613411"/>
          <a:ext cx="5518434" cy="5556536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86</xdr:row>
      <xdr:rowOff>87407</xdr:rowOff>
    </xdr:from>
    <xdr:to>
      <xdr:col>6</xdr:col>
      <xdr:colOff>1194920</xdr:colOff>
      <xdr:row>113</xdr:row>
      <xdr:rowOff>74707</xdr:rowOff>
    </xdr:to>
    <xdr:pic>
      <xdr:nvPicPr>
        <xdr:cNvPr id="12" name="_x235616944" descr="EMB000057042c02"/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248407"/>
          <a:ext cx="9128685" cy="54333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638120</xdr:colOff>
      <xdr:row>19</xdr:row>
      <xdr:rowOff>44822</xdr:rowOff>
    </xdr:from>
    <xdr:to>
      <xdr:col>5</xdr:col>
      <xdr:colOff>216646</xdr:colOff>
      <xdr:row>27</xdr:row>
      <xdr:rowOff>190604</xdr:rowOff>
    </xdr:to>
    <xdr:pic>
      <xdr:nvPicPr>
        <xdr:cNvPr id="7" name="그림 6"/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54167"/>
        <a:stretch/>
      </xdr:blipFill>
      <xdr:spPr>
        <a:xfrm>
          <a:off x="4246414" y="4497293"/>
          <a:ext cx="2731114" cy="1759429"/>
        </a:xfrm>
        <a:prstGeom prst="rect">
          <a:avLst/>
        </a:prstGeom>
      </xdr:spPr>
    </xdr:pic>
    <xdr:clientData/>
  </xdr:twoCellAnchor>
  <xdr:twoCellAnchor editAs="oneCell">
    <xdr:from>
      <xdr:col>5</xdr:col>
      <xdr:colOff>404001</xdr:colOff>
      <xdr:row>19</xdr:row>
      <xdr:rowOff>49847</xdr:rowOff>
    </xdr:from>
    <xdr:to>
      <xdr:col>7</xdr:col>
      <xdr:colOff>661646</xdr:colOff>
      <xdr:row>27</xdr:row>
      <xdr:rowOff>171823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64883" y="4502318"/>
          <a:ext cx="3051645" cy="1735623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9525</xdr:colOff>
      <xdr:row>19</xdr:row>
      <xdr:rowOff>28575</xdr:rowOff>
    </xdr:from>
    <xdr:to>
      <xdr:col>5</xdr:col>
      <xdr:colOff>433295</xdr:colOff>
      <xdr:row>28</xdr:row>
      <xdr:rowOff>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3124760" y="3913281"/>
          <a:ext cx="2896534" cy="1786778"/>
        </a:xfrm>
        <a:prstGeom prst="rect">
          <a:avLst/>
        </a:prstGeom>
      </xdr:spPr>
    </xdr:pic>
    <xdr:clientData/>
  </xdr:twoCellAnchor>
  <xdr:twoCellAnchor editAs="oneCell">
    <xdr:from>
      <xdr:col>5</xdr:col>
      <xdr:colOff>253999</xdr:colOff>
      <xdr:row>19</xdr:row>
      <xdr:rowOff>28575</xdr:rowOff>
    </xdr:from>
    <xdr:to>
      <xdr:col>7</xdr:col>
      <xdr:colOff>612587</xdr:colOff>
      <xdr:row>28</xdr:row>
      <xdr:rowOff>0</xdr:rowOff>
    </xdr:to>
    <xdr:pic>
      <xdr:nvPicPr>
        <xdr:cNvPr id="7" name="그림 6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5841999" y="3913281"/>
          <a:ext cx="2629647" cy="178677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7</xdr:col>
      <xdr:colOff>190500</xdr:colOff>
      <xdr:row>53</xdr:row>
      <xdr:rowOff>152400</xdr:rowOff>
    </xdr:to>
    <xdr:sp macro="" textlink="">
      <xdr:nvSpPr>
        <xdr:cNvPr id="26626" name="AutoShape 2" hidden="1"/>
        <xdr:cNvSpPr>
          <a:spLocks noSelect="1" noChangeArrowheads="1"/>
        </xdr:cNvSpPr>
      </xdr:nvSpPr>
      <xdr:spPr>
        <a:xfrm>
          <a:off x="0" y="0"/>
          <a:ext cx="6953250" cy="101917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>
    <xdr:from>
      <xdr:col>3</xdr:col>
      <xdr:colOff>269987</xdr:colOff>
      <xdr:row>69</xdr:row>
      <xdr:rowOff>37353</xdr:rowOff>
    </xdr:from>
    <xdr:to>
      <xdr:col>7</xdr:col>
      <xdr:colOff>1184387</xdr:colOff>
      <xdr:row>79</xdr:row>
      <xdr:rowOff>209177</xdr:rowOff>
    </xdr:to>
    <xdr:graphicFrame macro="">
      <xdr:nvGraphicFramePr>
        <xdr:cNvPr id="5" name="차트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73</xdr:row>
      <xdr:rowOff>0</xdr:rowOff>
    </xdr:from>
    <xdr:to>
      <xdr:col>7</xdr:col>
      <xdr:colOff>1874520</xdr:colOff>
      <xdr:row>82</xdr:row>
      <xdr:rowOff>251460</xdr:rowOff>
    </xdr:to>
    <xdr:graphicFrame macro="">
      <xdr:nvGraphicFramePr>
        <xdr:cNvPr id="3" name="차트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3</xdr:col>
      <xdr:colOff>55418</xdr:colOff>
      <xdr:row>19</xdr:row>
      <xdr:rowOff>55417</xdr:rowOff>
    </xdr:from>
    <xdr:to>
      <xdr:col>4</xdr:col>
      <xdr:colOff>736963</xdr:colOff>
      <xdr:row>27</xdr:row>
      <xdr:rowOff>160020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6298" y="3918757"/>
          <a:ext cx="2657302" cy="1704803"/>
        </a:xfrm>
        <a:prstGeom prst="rect">
          <a:avLst/>
        </a:prstGeom>
      </xdr:spPr>
    </xdr:pic>
    <xdr:clientData/>
  </xdr:twoCellAnchor>
  <xdr:twoCellAnchor editAs="oneCell">
    <xdr:from>
      <xdr:col>4</xdr:col>
      <xdr:colOff>780142</xdr:colOff>
      <xdr:row>19</xdr:row>
      <xdr:rowOff>54429</xdr:rowOff>
    </xdr:from>
    <xdr:to>
      <xdr:col>7</xdr:col>
      <xdr:colOff>1841499</xdr:colOff>
      <xdr:row>27</xdr:row>
      <xdr:rowOff>172357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95356" y="3882572"/>
          <a:ext cx="4408715" cy="1732642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63</xdr:row>
      <xdr:rowOff>0</xdr:rowOff>
    </xdr:from>
    <xdr:to>
      <xdr:col>7</xdr:col>
      <xdr:colOff>453571</xdr:colOff>
      <xdr:row>73</xdr:row>
      <xdr:rowOff>251460</xdr:rowOff>
    </xdr:to>
    <xdr:graphicFrame macro="">
      <xdr:nvGraphicFramePr>
        <xdr:cNvPr id="5" name="차트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3</xdr:col>
      <xdr:colOff>54427</xdr:colOff>
      <xdr:row>19</xdr:row>
      <xdr:rowOff>43230</xdr:rowOff>
    </xdr:from>
    <xdr:to>
      <xdr:col>4</xdr:col>
      <xdr:colOff>1632856</xdr:colOff>
      <xdr:row>26</xdr:row>
      <xdr:rowOff>181428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10856" y="4379373"/>
          <a:ext cx="3075215" cy="1535198"/>
        </a:xfrm>
        <a:prstGeom prst="rect">
          <a:avLst/>
        </a:prstGeom>
      </xdr:spPr>
    </xdr:pic>
    <xdr:clientData/>
  </xdr:twoCellAnchor>
  <xdr:twoCellAnchor editAs="oneCell">
    <xdr:from>
      <xdr:col>4</xdr:col>
      <xdr:colOff>1623779</xdr:colOff>
      <xdr:row>19</xdr:row>
      <xdr:rowOff>63500</xdr:rowOff>
    </xdr:from>
    <xdr:to>
      <xdr:col>7</xdr:col>
      <xdr:colOff>471708</xdr:colOff>
      <xdr:row>26</xdr:row>
      <xdr:rowOff>141317</xdr:rowOff>
    </xdr:to>
    <xdr:pic>
      <xdr:nvPicPr>
        <xdr:cNvPr id="7" name="그림 6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564" t="12991" r="12181" b="28998"/>
        <a:stretch/>
      </xdr:blipFill>
      <xdr:spPr>
        <a:xfrm>
          <a:off x="6476993" y="4399643"/>
          <a:ext cx="3302000" cy="1474817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19050</xdr:colOff>
      <xdr:row>16</xdr:row>
      <xdr:rowOff>25096</xdr:rowOff>
    </xdr:from>
    <xdr:to>
      <xdr:col>5</xdr:col>
      <xdr:colOff>439471</xdr:colOff>
      <xdr:row>23</xdr:row>
      <xdr:rowOff>184150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52700" y="3327096"/>
          <a:ext cx="2810262" cy="1581454"/>
        </a:xfrm>
        <a:prstGeom prst="rect">
          <a:avLst/>
        </a:prstGeom>
      </xdr:spPr>
    </xdr:pic>
    <xdr:clientData/>
  </xdr:twoCellAnchor>
  <xdr:twoCellAnchor editAs="oneCell">
    <xdr:from>
      <xdr:col>5</xdr:col>
      <xdr:colOff>165100</xdr:colOff>
      <xdr:row>16</xdr:row>
      <xdr:rowOff>16679</xdr:rowOff>
    </xdr:from>
    <xdr:to>
      <xdr:col>7</xdr:col>
      <xdr:colOff>295676</xdr:colOff>
      <xdr:row>23</xdr:row>
      <xdr:rowOff>191650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2650" y="3318679"/>
          <a:ext cx="2397900" cy="1597371"/>
        </a:xfrm>
        <a:prstGeom prst="rect">
          <a:avLst/>
        </a:prstGeom>
      </xdr:spPr>
    </xdr:pic>
    <xdr:clientData/>
  </xdr:twoCellAnchor>
  <xdr:twoCellAnchor>
    <xdr:from>
      <xdr:col>3</xdr:col>
      <xdr:colOff>38100</xdr:colOff>
      <xdr:row>56</xdr:row>
      <xdr:rowOff>0</xdr:rowOff>
    </xdr:from>
    <xdr:to>
      <xdr:col>8</xdr:col>
      <xdr:colOff>6350</xdr:colOff>
      <xdr:row>67</xdr:row>
      <xdr:rowOff>0</xdr:rowOff>
    </xdr:to>
    <xdr:graphicFrame macro="">
      <xdr:nvGraphicFramePr>
        <xdr:cNvPr id="4" name="차트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133350</xdr:colOff>
      <xdr:row>16</xdr:row>
      <xdr:rowOff>19050</xdr:rowOff>
    </xdr:from>
    <xdr:to>
      <xdr:col>7</xdr:col>
      <xdr:colOff>149225</xdr:colOff>
      <xdr:row>24</xdr:row>
      <xdr:rowOff>0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4667249" y="3135312"/>
          <a:ext cx="2293937" cy="1508125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16</xdr:row>
      <xdr:rowOff>9525</xdr:rowOff>
    </xdr:from>
    <xdr:to>
      <xdr:col>4</xdr:col>
      <xdr:colOff>780142</xdr:colOff>
      <xdr:row>24</xdr:row>
      <xdr:rowOff>0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2571750" y="3127374"/>
          <a:ext cx="2151062" cy="1516062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</xdr:colOff>
      <xdr:row>55</xdr:row>
      <xdr:rowOff>111760</xdr:rowOff>
    </xdr:from>
    <xdr:to>
      <xdr:col>6</xdr:col>
      <xdr:colOff>300990</xdr:colOff>
      <xdr:row>81</xdr:row>
      <xdr:rowOff>139700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" y="11054080"/>
          <a:ext cx="6836410" cy="5179060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58</xdr:row>
      <xdr:rowOff>0</xdr:rowOff>
    </xdr:from>
    <xdr:to>
      <xdr:col>7</xdr:col>
      <xdr:colOff>1279071</xdr:colOff>
      <xdr:row>70</xdr:row>
      <xdr:rowOff>219710</xdr:rowOff>
    </xdr:to>
    <xdr:graphicFrame macro="">
      <xdr:nvGraphicFramePr>
        <xdr:cNvPr id="2" name="차트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8</xdr:col>
      <xdr:colOff>462644</xdr:colOff>
      <xdr:row>1</xdr:row>
      <xdr:rowOff>45355</xdr:rowOff>
    </xdr:from>
    <xdr:to>
      <xdr:col>15</xdr:col>
      <xdr:colOff>377207</xdr:colOff>
      <xdr:row>31</xdr:row>
      <xdr:rowOff>81641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59787" y="444498"/>
          <a:ext cx="8142348" cy="6232072"/>
        </a:xfrm>
        <a:prstGeom prst="rect">
          <a:avLst/>
        </a:prstGeom>
      </xdr:spPr>
    </xdr:pic>
    <xdr:clientData/>
  </xdr:twoCellAnchor>
  <xdr:twoCellAnchor editAs="oneCell">
    <xdr:from>
      <xdr:col>3</xdr:col>
      <xdr:colOff>36289</xdr:colOff>
      <xdr:row>19</xdr:row>
      <xdr:rowOff>56920</xdr:rowOff>
    </xdr:from>
    <xdr:to>
      <xdr:col>4</xdr:col>
      <xdr:colOff>1524001</xdr:colOff>
      <xdr:row>27</xdr:row>
      <xdr:rowOff>145144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2718" y="4393063"/>
          <a:ext cx="2984498" cy="1684796"/>
        </a:xfrm>
        <a:prstGeom prst="rect">
          <a:avLst/>
        </a:prstGeom>
      </xdr:spPr>
    </xdr:pic>
    <xdr:clientData/>
  </xdr:twoCellAnchor>
  <xdr:twoCellAnchor editAs="oneCell">
    <xdr:from>
      <xdr:col>4</xdr:col>
      <xdr:colOff>1533071</xdr:colOff>
      <xdr:row>19</xdr:row>
      <xdr:rowOff>59285</xdr:rowOff>
    </xdr:from>
    <xdr:to>
      <xdr:col>7</xdr:col>
      <xdr:colOff>484852</xdr:colOff>
      <xdr:row>27</xdr:row>
      <xdr:rowOff>179830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86285" y="4395428"/>
          <a:ext cx="3405852" cy="1717117"/>
        </a:xfrm>
        <a:prstGeom prst="rect">
          <a:avLst/>
        </a:prstGeom>
      </xdr:spPr>
    </xdr:pic>
    <xdr:clientData/>
  </xdr:twoCellAnchor>
  <xdr:twoCellAnchor editAs="oneCell">
    <xdr:from>
      <xdr:col>9</xdr:col>
      <xdr:colOff>698500</xdr:colOff>
      <xdr:row>31</xdr:row>
      <xdr:rowOff>199570</xdr:rowOff>
    </xdr:from>
    <xdr:to>
      <xdr:col>15</xdr:col>
      <xdr:colOff>644072</xdr:colOff>
      <xdr:row>51</xdr:row>
      <xdr:rowOff>11792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37143" y="6794499"/>
          <a:ext cx="6096000" cy="4121150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38099</xdr:colOff>
      <xdr:row>54</xdr:row>
      <xdr:rowOff>0</xdr:rowOff>
    </xdr:from>
    <xdr:to>
      <xdr:col>7</xdr:col>
      <xdr:colOff>1152072</xdr:colOff>
      <xdr:row>66</xdr:row>
      <xdr:rowOff>219710</xdr:rowOff>
    </xdr:to>
    <xdr:graphicFrame macro="">
      <xdr:nvGraphicFramePr>
        <xdr:cNvPr id="2" name="차트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3</xdr:col>
      <xdr:colOff>27215</xdr:colOff>
      <xdr:row>19</xdr:row>
      <xdr:rowOff>9072</xdr:rowOff>
    </xdr:from>
    <xdr:to>
      <xdr:col>4</xdr:col>
      <xdr:colOff>505248</xdr:colOff>
      <xdr:row>26</xdr:row>
      <xdr:rowOff>199572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83644" y="4345215"/>
          <a:ext cx="1974819" cy="1587500"/>
        </a:xfrm>
        <a:prstGeom prst="rect">
          <a:avLst/>
        </a:prstGeom>
      </xdr:spPr>
    </xdr:pic>
    <xdr:clientData/>
  </xdr:twoCellAnchor>
  <xdr:twoCellAnchor editAs="oneCell">
    <xdr:from>
      <xdr:col>4</xdr:col>
      <xdr:colOff>535219</xdr:colOff>
      <xdr:row>19</xdr:row>
      <xdr:rowOff>27215</xdr:rowOff>
    </xdr:from>
    <xdr:to>
      <xdr:col>5</xdr:col>
      <xdr:colOff>1141058</xdr:colOff>
      <xdr:row>26</xdr:row>
      <xdr:rowOff>181428</xdr:rowOff>
    </xdr:to>
    <xdr:pic>
      <xdr:nvPicPr>
        <xdr:cNvPr id="4" name="그림 3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760" t="15817" r="19227" b="9674"/>
        <a:stretch/>
      </xdr:blipFill>
      <xdr:spPr>
        <a:xfrm>
          <a:off x="5388433" y="4363358"/>
          <a:ext cx="2256839" cy="1551213"/>
        </a:xfrm>
        <a:prstGeom prst="rect">
          <a:avLst/>
        </a:prstGeom>
      </xdr:spPr>
    </xdr:pic>
    <xdr:clientData/>
  </xdr:twoCellAnchor>
  <xdr:twoCellAnchor editAs="oneCell">
    <xdr:from>
      <xdr:col>5</xdr:col>
      <xdr:colOff>1170216</xdr:colOff>
      <xdr:row>18</xdr:row>
      <xdr:rowOff>54428</xdr:rowOff>
    </xdr:from>
    <xdr:to>
      <xdr:col>7</xdr:col>
      <xdr:colOff>458211</xdr:colOff>
      <xdr:row>26</xdr:row>
      <xdr:rowOff>194409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74430" y="4327071"/>
          <a:ext cx="2091066" cy="1600481"/>
        </a:xfrm>
        <a:prstGeom prst="rect">
          <a:avLst/>
        </a:prstGeom>
      </xdr:spPr>
    </xdr:pic>
    <xdr:clientData/>
  </xdr:twoCellAnchor>
  <xdr:twoCellAnchor editAs="oneCell">
    <xdr:from>
      <xdr:col>9</xdr:col>
      <xdr:colOff>762001</xdr:colOff>
      <xdr:row>12</xdr:row>
      <xdr:rowOff>45356</xdr:rowOff>
    </xdr:from>
    <xdr:to>
      <xdr:col>17</xdr:col>
      <xdr:colOff>703778</xdr:colOff>
      <xdr:row>45</xdr:row>
      <xdr:rowOff>99785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84215" y="3047999"/>
          <a:ext cx="8142348" cy="6232072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400050</xdr:colOff>
      <xdr:row>65</xdr:row>
      <xdr:rowOff>57150</xdr:rowOff>
    </xdr:to>
    <xdr:sp macro="" textlink="">
      <xdr:nvSpPr>
        <xdr:cNvPr id="3" name="AutoShape 3" hidden="1"/>
        <xdr:cNvSpPr>
          <a:spLocks noSelect="1" noChangeArrowheads="1"/>
        </xdr:cNvSpPr>
      </xdr:nvSpPr>
      <xdr:spPr>
        <a:xfrm>
          <a:off x="0" y="0"/>
          <a:ext cx="10501312" cy="12533312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 editAs="oneCell">
    <xdr:from>
      <xdr:col>5</xdr:col>
      <xdr:colOff>666750</xdr:colOff>
      <xdr:row>19</xdr:row>
      <xdr:rowOff>28575</xdr:rowOff>
    </xdr:from>
    <xdr:to>
      <xdr:col>7</xdr:col>
      <xdr:colOff>916688</xdr:colOff>
      <xdr:row>27</xdr:row>
      <xdr:rowOff>164353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7420162" y="3898340"/>
          <a:ext cx="2520997" cy="1749425"/>
        </a:xfrm>
        <a:prstGeom prst="rect">
          <a:avLst/>
        </a:prstGeom>
      </xdr:spPr>
    </xdr:pic>
    <xdr:clientData/>
  </xdr:twoCellAnchor>
  <xdr:twoCellAnchor editAs="oneCell">
    <xdr:from>
      <xdr:col>3</xdr:col>
      <xdr:colOff>104775</xdr:colOff>
      <xdr:row>19</xdr:row>
      <xdr:rowOff>28575</xdr:rowOff>
    </xdr:from>
    <xdr:to>
      <xdr:col>4</xdr:col>
      <xdr:colOff>992655</xdr:colOff>
      <xdr:row>27</xdr:row>
      <xdr:rowOff>190500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xfrm>
          <a:off x="3865562" y="3738562"/>
          <a:ext cx="2571750" cy="1682749"/>
        </a:xfrm>
        <a:prstGeom prst="rect">
          <a:avLst/>
        </a:prstGeom>
      </xdr:spPr>
    </xdr:pic>
    <xdr:clientData/>
  </xdr:twoCellAnchor>
  <xdr:twoCellAnchor>
    <xdr:from>
      <xdr:col>3</xdr:col>
      <xdr:colOff>53340</xdr:colOff>
      <xdr:row>85</xdr:row>
      <xdr:rowOff>0</xdr:rowOff>
    </xdr:from>
    <xdr:to>
      <xdr:col>7</xdr:col>
      <xdr:colOff>1234440</xdr:colOff>
      <xdr:row>94</xdr:row>
      <xdr:rowOff>236220</xdr:rowOff>
    </xdr:to>
    <xdr:graphicFrame macro="">
      <xdr:nvGraphicFramePr>
        <xdr:cNvPr id="7" name="차트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53340</xdr:colOff>
      <xdr:row>46</xdr:row>
      <xdr:rowOff>0</xdr:rowOff>
    </xdr:from>
    <xdr:to>
      <xdr:col>7</xdr:col>
      <xdr:colOff>1234440</xdr:colOff>
      <xdr:row>55</xdr:row>
      <xdr:rowOff>236220</xdr:rowOff>
    </xdr:to>
    <xdr:graphicFrame macro="">
      <xdr:nvGraphicFramePr>
        <xdr:cNvPr id="4" name="차트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3</xdr:col>
      <xdr:colOff>134468</xdr:colOff>
      <xdr:row>19</xdr:row>
      <xdr:rowOff>52294</xdr:rowOff>
    </xdr:from>
    <xdr:to>
      <xdr:col>5</xdr:col>
      <xdr:colOff>104587</xdr:colOff>
      <xdr:row>27</xdr:row>
      <xdr:rowOff>130285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6174" y="3944470"/>
          <a:ext cx="2711825" cy="1706580"/>
        </a:xfrm>
        <a:prstGeom prst="rect">
          <a:avLst/>
        </a:prstGeom>
      </xdr:spPr>
    </xdr:pic>
    <xdr:clientData/>
  </xdr:twoCellAnchor>
  <xdr:twoCellAnchor editAs="oneCell">
    <xdr:from>
      <xdr:col>5</xdr:col>
      <xdr:colOff>313764</xdr:colOff>
      <xdr:row>19</xdr:row>
      <xdr:rowOff>61839</xdr:rowOff>
    </xdr:from>
    <xdr:to>
      <xdr:col>7</xdr:col>
      <xdr:colOff>806823</xdr:colOff>
      <xdr:row>27</xdr:row>
      <xdr:rowOff>82176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67176" y="3954015"/>
          <a:ext cx="2764118" cy="1648926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29406</xdr:colOff>
      <xdr:row>19</xdr:row>
      <xdr:rowOff>31144</xdr:rowOff>
    </xdr:from>
    <xdr:to>
      <xdr:col>5</xdr:col>
      <xdr:colOff>427019</xdr:colOff>
      <xdr:row>26</xdr:row>
      <xdr:rowOff>167474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3686" y="3871624"/>
          <a:ext cx="2850954" cy="1736530"/>
        </a:xfrm>
        <a:prstGeom prst="rect">
          <a:avLst/>
        </a:prstGeom>
      </xdr:spPr>
    </xdr:pic>
    <xdr:clientData/>
  </xdr:twoCellAnchor>
  <xdr:twoCellAnchor editAs="oneCell">
    <xdr:from>
      <xdr:col>5</xdr:col>
      <xdr:colOff>800100</xdr:colOff>
      <xdr:row>19</xdr:row>
      <xdr:rowOff>14019</xdr:rowOff>
    </xdr:from>
    <xdr:to>
      <xdr:col>7</xdr:col>
      <xdr:colOff>1611098</xdr:colOff>
      <xdr:row>26</xdr:row>
      <xdr:rowOff>183373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21780" y="3854499"/>
          <a:ext cx="3083700" cy="1769554"/>
        </a:xfrm>
        <a:prstGeom prst="rect">
          <a:avLst/>
        </a:prstGeom>
      </xdr:spPr>
    </xdr:pic>
    <xdr:clientData/>
  </xdr:twoCellAnchor>
  <xdr:twoCellAnchor>
    <xdr:from>
      <xdr:col>3</xdr:col>
      <xdr:colOff>53340</xdr:colOff>
      <xdr:row>51</xdr:row>
      <xdr:rowOff>0</xdr:rowOff>
    </xdr:from>
    <xdr:to>
      <xdr:col>7</xdr:col>
      <xdr:colOff>1234440</xdr:colOff>
      <xdr:row>60</xdr:row>
      <xdr:rowOff>236220</xdr:rowOff>
    </xdr:to>
    <xdr:graphicFrame macro="">
      <xdr:nvGraphicFramePr>
        <xdr:cNvPr id="6" name="차트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63</xdr:row>
      <xdr:rowOff>0</xdr:rowOff>
    </xdr:from>
    <xdr:to>
      <xdr:col>7</xdr:col>
      <xdr:colOff>453571</xdr:colOff>
      <xdr:row>75</xdr:row>
      <xdr:rowOff>219710</xdr:rowOff>
    </xdr:to>
    <xdr:graphicFrame macro="">
      <xdr:nvGraphicFramePr>
        <xdr:cNvPr id="2" name="차트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5</xdr:col>
      <xdr:colOff>978898</xdr:colOff>
      <xdr:row>19</xdr:row>
      <xdr:rowOff>45357</xdr:rowOff>
    </xdr:from>
    <xdr:to>
      <xdr:col>7</xdr:col>
      <xdr:colOff>471565</xdr:colOff>
      <xdr:row>27</xdr:row>
      <xdr:rowOff>172357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3112" y="4671786"/>
          <a:ext cx="2295739" cy="1723571"/>
        </a:xfrm>
        <a:prstGeom prst="rect">
          <a:avLst/>
        </a:prstGeom>
      </xdr:spPr>
    </xdr:pic>
    <xdr:clientData/>
  </xdr:twoCellAnchor>
  <xdr:twoCellAnchor editAs="oneCell">
    <xdr:from>
      <xdr:col>3</xdr:col>
      <xdr:colOff>36559</xdr:colOff>
      <xdr:row>19</xdr:row>
      <xdr:rowOff>37197</xdr:rowOff>
    </xdr:from>
    <xdr:to>
      <xdr:col>4</xdr:col>
      <xdr:colOff>908692</xdr:colOff>
      <xdr:row>27</xdr:row>
      <xdr:rowOff>190499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92988" y="4663626"/>
          <a:ext cx="2368918" cy="1749873"/>
        </a:xfrm>
        <a:prstGeom prst="rect">
          <a:avLst/>
        </a:prstGeom>
      </xdr:spPr>
    </xdr:pic>
    <xdr:clientData/>
  </xdr:twoCellAnchor>
  <xdr:twoCellAnchor editAs="oneCell">
    <xdr:from>
      <xdr:col>4</xdr:col>
      <xdr:colOff>725149</xdr:colOff>
      <xdr:row>19</xdr:row>
      <xdr:rowOff>36739</xdr:rowOff>
    </xdr:from>
    <xdr:to>
      <xdr:col>5</xdr:col>
      <xdr:colOff>1370859</xdr:colOff>
      <xdr:row>27</xdr:row>
      <xdr:rowOff>172357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78363" y="4663168"/>
          <a:ext cx="2296710" cy="1732189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53</xdr:row>
      <xdr:rowOff>0</xdr:rowOff>
    </xdr:from>
    <xdr:to>
      <xdr:col>8</xdr:col>
      <xdr:colOff>6350</xdr:colOff>
      <xdr:row>65</xdr:row>
      <xdr:rowOff>219710</xdr:rowOff>
    </xdr:to>
    <xdr:graphicFrame macro="">
      <xdr:nvGraphicFramePr>
        <xdr:cNvPr id="4" name="차트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602634</xdr:colOff>
      <xdr:row>17</xdr:row>
      <xdr:rowOff>38099</xdr:rowOff>
    </xdr:from>
    <xdr:to>
      <xdr:col>6</xdr:col>
      <xdr:colOff>933450</xdr:colOff>
      <xdr:row>25</xdr:row>
      <xdr:rowOff>182042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8734" y="3778249"/>
          <a:ext cx="2743816" cy="1775893"/>
        </a:xfrm>
        <a:prstGeom prst="rect">
          <a:avLst/>
        </a:prstGeom>
      </xdr:spPr>
    </xdr:pic>
    <xdr:clientData/>
  </xdr:twoCellAnchor>
  <xdr:twoCellAnchor editAs="oneCell">
    <xdr:from>
      <xdr:col>3</xdr:col>
      <xdr:colOff>11356</xdr:colOff>
      <xdr:row>17</xdr:row>
      <xdr:rowOff>22648</xdr:rowOff>
    </xdr:from>
    <xdr:to>
      <xdr:col>4</xdr:col>
      <xdr:colOff>868566</xdr:colOff>
      <xdr:row>25</xdr:row>
      <xdr:rowOff>190500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4606" y="3762798"/>
          <a:ext cx="2070060" cy="1799802"/>
        </a:xfrm>
        <a:prstGeom prst="rect">
          <a:avLst/>
        </a:prstGeom>
      </xdr:spPr>
    </xdr:pic>
    <xdr:clientData/>
  </xdr:twoCellAnchor>
  <xdr:twoCellAnchor editAs="oneCell">
    <xdr:from>
      <xdr:col>5</xdr:col>
      <xdr:colOff>482600</xdr:colOff>
      <xdr:row>17</xdr:row>
      <xdr:rowOff>6349</xdr:rowOff>
    </xdr:from>
    <xdr:to>
      <xdr:col>7</xdr:col>
      <xdr:colOff>473075</xdr:colOff>
      <xdr:row>25</xdr:row>
      <xdr:rowOff>170364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3000" y="3746499"/>
          <a:ext cx="2085975" cy="1795965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59</xdr:row>
      <xdr:rowOff>0</xdr:rowOff>
    </xdr:from>
    <xdr:to>
      <xdr:col>8</xdr:col>
      <xdr:colOff>6350</xdr:colOff>
      <xdr:row>71</xdr:row>
      <xdr:rowOff>219710</xdr:rowOff>
    </xdr:to>
    <xdr:graphicFrame macro="">
      <xdr:nvGraphicFramePr>
        <xdr:cNvPr id="2" name="차트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5</xdr:col>
      <xdr:colOff>217236</xdr:colOff>
      <xdr:row>17</xdr:row>
      <xdr:rowOff>60354</xdr:rowOff>
    </xdr:from>
    <xdr:to>
      <xdr:col>7</xdr:col>
      <xdr:colOff>483777</xdr:colOff>
      <xdr:row>25</xdr:row>
      <xdr:rowOff>179294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7177" y="3608883"/>
          <a:ext cx="2365776" cy="1740058"/>
        </a:xfrm>
        <a:prstGeom prst="rect">
          <a:avLst/>
        </a:prstGeom>
      </xdr:spPr>
    </xdr:pic>
    <xdr:clientData/>
  </xdr:twoCellAnchor>
  <xdr:twoCellAnchor editAs="oneCell">
    <xdr:from>
      <xdr:col>3</xdr:col>
      <xdr:colOff>31059</xdr:colOff>
      <xdr:row>17</xdr:row>
      <xdr:rowOff>31059</xdr:rowOff>
    </xdr:from>
    <xdr:to>
      <xdr:col>4</xdr:col>
      <xdr:colOff>1161908</xdr:colOff>
      <xdr:row>25</xdr:row>
      <xdr:rowOff>171824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8706" y="3579588"/>
          <a:ext cx="2341085" cy="1761883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400050</xdr:colOff>
      <xdr:row>46</xdr:row>
      <xdr:rowOff>57150</xdr:rowOff>
    </xdr:to>
    <xdr:sp macro="" textlink="">
      <xdr:nvSpPr>
        <xdr:cNvPr id="2" name="AutoShape 3" hidden="1"/>
        <xdr:cNvSpPr>
          <a:spLocks noSelect="1" noChangeArrowheads="1"/>
        </xdr:cNvSpPr>
      </xdr:nvSpPr>
      <xdr:spPr>
        <a:xfrm>
          <a:off x="0" y="0"/>
          <a:ext cx="10501312" cy="9755187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 editAs="oneCell">
    <xdr:from>
      <xdr:col>3</xdr:col>
      <xdr:colOff>83521</xdr:colOff>
      <xdr:row>18</xdr:row>
      <xdr:rowOff>49404</xdr:rowOff>
    </xdr:from>
    <xdr:to>
      <xdr:col>5</xdr:col>
      <xdr:colOff>247110</xdr:colOff>
      <xdr:row>27</xdr:row>
      <xdr:rowOff>163262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4229697" y="3851933"/>
          <a:ext cx="2613942" cy="1794741"/>
        </a:xfrm>
        <a:prstGeom prst="rect">
          <a:avLst/>
        </a:prstGeom>
      </xdr:spPr>
    </xdr:pic>
    <xdr:clientData/>
  </xdr:twoCellAnchor>
  <xdr:twoCellAnchor editAs="oneCell">
    <xdr:from>
      <xdr:col>5</xdr:col>
      <xdr:colOff>493639</xdr:colOff>
      <xdr:row>19</xdr:row>
      <xdr:rowOff>4580</xdr:rowOff>
    </xdr:from>
    <xdr:to>
      <xdr:col>7</xdr:col>
      <xdr:colOff>854316</xdr:colOff>
      <xdr:row>27</xdr:row>
      <xdr:rowOff>195199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xfrm>
          <a:off x="7090168" y="3874345"/>
          <a:ext cx="2631736" cy="1804266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876300</xdr:colOff>
      <xdr:row>34</xdr:row>
      <xdr:rowOff>30480</xdr:rowOff>
    </xdr:to>
    <xdr:sp macro="" textlink="">
      <xdr:nvSpPr>
        <xdr:cNvPr id="34821" name="AutoShape 5" hidden="1"/>
        <xdr:cNvSpPr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53340</xdr:colOff>
      <xdr:row>58</xdr:row>
      <xdr:rowOff>0</xdr:rowOff>
    </xdr:from>
    <xdr:to>
      <xdr:col>7</xdr:col>
      <xdr:colOff>1234440</xdr:colOff>
      <xdr:row>67</xdr:row>
      <xdr:rowOff>236220</xdr:rowOff>
    </xdr:to>
    <xdr:graphicFrame macro="">
      <xdr:nvGraphicFramePr>
        <xdr:cNvPr id="7" name="차트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53340</xdr:colOff>
      <xdr:row>63</xdr:row>
      <xdr:rowOff>0</xdr:rowOff>
    </xdr:from>
    <xdr:to>
      <xdr:col>7</xdr:col>
      <xdr:colOff>1234440</xdr:colOff>
      <xdr:row>72</xdr:row>
      <xdr:rowOff>236220</xdr:rowOff>
    </xdr:to>
    <xdr:graphicFrame macro="">
      <xdr:nvGraphicFramePr>
        <xdr:cNvPr id="4" name="차트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112060</xdr:colOff>
      <xdr:row>19</xdr:row>
      <xdr:rowOff>22023</xdr:rowOff>
    </xdr:from>
    <xdr:to>
      <xdr:col>7</xdr:col>
      <xdr:colOff>1251858</xdr:colOff>
      <xdr:row>27</xdr:row>
      <xdr:rowOff>163107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4846" y="3877380"/>
          <a:ext cx="1139798" cy="1755798"/>
        </a:xfrm>
        <a:prstGeom prst="rect">
          <a:avLst/>
        </a:prstGeom>
      </xdr:spPr>
    </xdr:pic>
    <xdr:clientData/>
  </xdr:twoCellAnchor>
  <xdr:twoCellAnchor editAs="oneCell">
    <xdr:from>
      <xdr:col>4</xdr:col>
      <xdr:colOff>1060348</xdr:colOff>
      <xdr:row>19</xdr:row>
      <xdr:rowOff>44878</xdr:rowOff>
    </xdr:from>
    <xdr:to>
      <xdr:col>7</xdr:col>
      <xdr:colOff>73652</xdr:colOff>
      <xdr:row>27</xdr:row>
      <xdr:rowOff>163286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93919" y="3900235"/>
          <a:ext cx="2342518" cy="1733122"/>
        </a:xfrm>
        <a:prstGeom prst="rect">
          <a:avLst/>
        </a:prstGeom>
      </xdr:spPr>
    </xdr:pic>
    <xdr:clientData/>
  </xdr:twoCellAnchor>
  <xdr:twoCellAnchor editAs="oneCell">
    <xdr:from>
      <xdr:col>3</xdr:col>
      <xdr:colOff>69480</xdr:colOff>
      <xdr:row>19</xdr:row>
      <xdr:rowOff>38530</xdr:rowOff>
    </xdr:from>
    <xdr:to>
      <xdr:col>5</xdr:col>
      <xdr:colOff>63500</xdr:colOff>
      <xdr:row>27</xdr:row>
      <xdr:rowOff>109898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15123" y="3893887"/>
          <a:ext cx="2443306" cy="1686082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53340</xdr:colOff>
      <xdr:row>58</xdr:row>
      <xdr:rowOff>0</xdr:rowOff>
    </xdr:from>
    <xdr:to>
      <xdr:col>7</xdr:col>
      <xdr:colOff>1234440</xdr:colOff>
      <xdr:row>67</xdr:row>
      <xdr:rowOff>236220</xdr:rowOff>
    </xdr:to>
    <xdr:graphicFrame macro="">
      <xdr:nvGraphicFramePr>
        <xdr:cNvPr id="4" name="차트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53340</xdr:colOff>
      <xdr:row>57</xdr:row>
      <xdr:rowOff>0</xdr:rowOff>
    </xdr:from>
    <xdr:to>
      <xdr:col>7</xdr:col>
      <xdr:colOff>1234440</xdr:colOff>
      <xdr:row>66</xdr:row>
      <xdr:rowOff>236220</xdr:rowOff>
    </xdr:to>
    <xdr:graphicFrame macro="">
      <xdr:nvGraphicFramePr>
        <xdr:cNvPr id="2" name="차트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</xdr:col>
      <xdr:colOff>463176</xdr:colOff>
      <xdr:row>19</xdr:row>
      <xdr:rowOff>29883</xdr:rowOff>
    </xdr:from>
    <xdr:to>
      <xdr:col>5</xdr:col>
      <xdr:colOff>593678</xdr:colOff>
      <xdr:row>27</xdr:row>
      <xdr:rowOff>149411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98882" y="3922059"/>
          <a:ext cx="1191325" cy="1748117"/>
        </a:xfrm>
        <a:prstGeom prst="rect">
          <a:avLst/>
        </a:prstGeom>
      </xdr:spPr>
    </xdr:pic>
    <xdr:clientData/>
  </xdr:twoCellAnchor>
  <xdr:twoCellAnchor editAs="oneCell">
    <xdr:from>
      <xdr:col>3</xdr:col>
      <xdr:colOff>8060</xdr:colOff>
      <xdr:row>19</xdr:row>
      <xdr:rowOff>187354</xdr:rowOff>
    </xdr:from>
    <xdr:to>
      <xdr:col>4</xdr:col>
      <xdr:colOff>472756</xdr:colOff>
      <xdr:row>27</xdr:row>
      <xdr:rowOff>171823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54236" y="4079530"/>
          <a:ext cx="1854226" cy="1613058"/>
        </a:xfrm>
        <a:prstGeom prst="rect">
          <a:avLst/>
        </a:prstGeom>
      </xdr:spPr>
    </xdr:pic>
    <xdr:clientData/>
  </xdr:twoCellAnchor>
  <xdr:twoCellAnchor editAs="oneCell">
    <xdr:from>
      <xdr:col>5</xdr:col>
      <xdr:colOff>613766</xdr:colOff>
      <xdr:row>19</xdr:row>
      <xdr:rowOff>31059</xdr:rowOff>
    </xdr:from>
    <xdr:to>
      <xdr:col>7</xdr:col>
      <xdr:colOff>687294</xdr:colOff>
      <xdr:row>27</xdr:row>
      <xdr:rowOff>160052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10295" y="3923235"/>
          <a:ext cx="2344587" cy="1757582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19050</xdr:colOff>
      <xdr:row>16</xdr:row>
      <xdr:rowOff>38100</xdr:rowOff>
    </xdr:from>
    <xdr:to>
      <xdr:col>4</xdr:col>
      <xdr:colOff>883396</xdr:colOff>
      <xdr:row>24</xdr:row>
      <xdr:rowOff>0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2547937" y="3159125"/>
          <a:ext cx="2270125" cy="1484312"/>
        </a:xfrm>
        <a:prstGeom prst="rect">
          <a:avLst/>
        </a:prstGeom>
      </xdr:spPr>
    </xdr:pic>
    <xdr:clientData/>
  </xdr:twoCellAnchor>
  <xdr:twoCellAnchor editAs="oneCell">
    <xdr:from>
      <xdr:col>5</xdr:col>
      <xdr:colOff>285750</xdr:colOff>
      <xdr:row>16</xdr:row>
      <xdr:rowOff>38100</xdr:rowOff>
    </xdr:from>
    <xdr:to>
      <xdr:col>7</xdr:col>
      <xdr:colOff>186952</xdr:colOff>
      <xdr:row>24</xdr:row>
      <xdr:rowOff>0</xdr:rowOff>
    </xdr:to>
    <xdr:pic>
      <xdr:nvPicPr>
        <xdr:cNvPr id="3" name="그림 2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4818062" y="3159125"/>
          <a:ext cx="2166937" cy="1484312"/>
        </a:xfrm>
        <a:prstGeom prst="rect">
          <a:avLst/>
        </a:prstGeom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400050</xdr:colOff>
      <xdr:row>51</xdr:row>
      <xdr:rowOff>57150</xdr:rowOff>
    </xdr:to>
    <xdr:sp macro="" textlink="">
      <xdr:nvSpPr>
        <xdr:cNvPr id="2" name="AutoShape 3" hidden="1"/>
        <xdr:cNvSpPr>
          <a:spLocks noSelect="1" noChangeArrowheads="1"/>
        </xdr:cNvSpPr>
      </xdr:nvSpPr>
      <xdr:spPr>
        <a:xfrm>
          <a:off x="0" y="0"/>
          <a:ext cx="10501312" cy="9755187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/>
        </a:ln>
      </xdr:spPr>
      <xdr:txBody>
        <a:bodyPr vertOverflow="clip" lIns="0" tIns="0" rIns="0" bIns="0"/>
        <a:lstStyle/>
        <a:p>
          <a:pPr algn="l"/>
          <a:endParaRPr/>
        </a:p>
      </xdr:txBody>
    </xdr:sp>
    <xdr:clientData/>
  </xdr:twoCellAnchor>
  <xdr:twoCellAnchor editAs="oneCell">
    <xdr:from>
      <xdr:col>3</xdr:col>
      <xdr:colOff>19050</xdr:colOff>
      <xdr:row>19</xdr:row>
      <xdr:rowOff>19050</xdr:rowOff>
    </xdr:from>
    <xdr:to>
      <xdr:col>5</xdr:col>
      <xdr:colOff>80309</xdr:colOff>
      <xdr:row>27</xdr:row>
      <xdr:rowOff>152400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3778250" y="3722687"/>
          <a:ext cx="2516187" cy="1658937"/>
        </a:xfrm>
        <a:prstGeom prst="rect">
          <a:avLst/>
        </a:prstGeom>
      </xdr:spPr>
    </xdr:pic>
    <xdr:clientData/>
  </xdr:twoCellAnchor>
  <xdr:twoCellAnchor editAs="oneCell">
    <xdr:from>
      <xdr:col>5</xdr:col>
      <xdr:colOff>438150</xdr:colOff>
      <xdr:row>19</xdr:row>
      <xdr:rowOff>28575</xdr:rowOff>
    </xdr:from>
    <xdr:to>
      <xdr:col>7</xdr:col>
      <xdr:colOff>982943</xdr:colOff>
      <xdr:row>27</xdr:row>
      <xdr:rowOff>161925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xfrm>
          <a:off x="6254749" y="3738562"/>
          <a:ext cx="2817812" cy="1651000"/>
        </a:xfrm>
        <a:prstGeom prst="rect">
          <a:avLst/>
        </a:prstGeom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38100</xdr:colOff>
      <xdr:row>19</xdr:row>
      <xdr:rowOff>15240</xdr:rowOff>
    </xdr:from>
    <xdr:to>
      <xdr:col>5</xdr:col>
      <xdr:colOff>575535</xdr:colOff>
      <xdr:row>27</xdr:row>
      <xdr:rowOff>165582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2380" y="3832860"/>
          <a:ext cx="2956560" cy="1750542"/>
        </a:xfrm>
        <a:prstGeom prst="rect">
          <a:avLst/>
        </a:prstGeom>
      </xdr:spPr>
    </xdr:pic>
    <xdr:clientData/>
  </xdr:twoCellAnchor>
  <xdr:twoCellAnchor editAs="oneCell">
    <xdr:from>
      <xdr:col>6</xdr:col>
      <xdr:colOff>22860</xdr:colOff>
      <xdr:row>19</xdr:row>
      <xdr:rowOff>13182</xdr:rowOff>
    </xdr:from>
    <xdr:to>
      <xdr:col>7</xdr:col>
      <xdr:colOff>1897380</xdr:colOff>
      <xdr:row>27</xdr:row>
      <xdr:rowOff>180566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6560" y="3830802"/>
          <a:ext cx="2941320" cy="1767584"/>
        </a:xfrm>
        <a:prstGeom prst="rect">
          <a:avLst/>
        </a:prstGeom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1134568</xdr:colOff>
      <xdr:row>20</xdr:row>
      <xdr:rowOff>4693</xdr:rowOff>
    </xdr:from>
    <xdr:to>
      <xdr:col>7</xdr:col>
      <xdr:colOff>475329</xdr:colOff>
      <xdr:row>27</xdr:row>
      <xdr:rowOff>190500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83711" y="4567622"/>
          <a:ext cx="2796975" cy="1582807"/>
        </a:xfrm>
        <a:prstGeom prst="rect">
          <a:avLst/>
        </a:prstGeom>
      </xdr:spPr>
    </xdr:pic>
    <xdr:clientData/>
  </xdr:twoCellAnchor>
  <xdr:twoCellAnchor>
    <xdr:from>
      <xdr:col>3</xdr:col>
      <xdr:colOff>38100</xdr:colOff>
      <xdr:row>47</xdr:row>
      <xdr:rowOff>0</xdr:rowOff>
    </xdr:from>
    <xdr:to>
      <xdr:col>7</xdr:col>
      <xdr:colOff>453571</xdr:colOff>
      <xdr:row>59</xdr:row>
      <xdr:rowOff>219710</xdr:rowOff>
    </xdr:to>
    <xdr:graphicFrame macro="">
      <xdr:nvGraphicFramePr>
        <xdr:cNvPr id="2" name="차트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4</xdr:col>
      <xdr:colOff>689437</xdr:colOff>
      <xdr:row>20</xdr:row>
      <xdr:rowOff>17905</xdr:rowOff>
    </xdr:from>
    <xdr:to>
      <xdr:col>5</xdr:col>
      <xdr:colOff>1816575</xdr:colOff>
      <xdr:row>27</xdr:row>
      <xdr:rowOff>181428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87580" y="4580834"/>
          <a:ext cx="2778138" cy="1560523"/>
        </a:xfrm>
        <a:prstGeom prst="rect">
          <a:avLst/>
        </a:prstGeom>
      </xdr:spPr>
    </xdr:pic>
    <xdr:clientData/>
  </xdr:twoCellAnchor>
  <xdr:twoCellAnchor editAs="oneCell">
    <xdr:from>
      <xdr:col>3</xdr:col>
      <xdr:colOff>19428</xdr:colOff>
      <xdr:row>20</xdr:row>
      <xdr:rowOff>21335</xdr:rowOff>
    </xdr:from>
    <xdr:to>
      <xdr:col>4</xdr:col>
      <xdr:colOff>1039460</xdr:colOff>
      <xdr:row>27</xdr:row>
      <xdr:rowOff>181428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75857" y="4584264"/>
          <a:ext cx="2761746" cy="1557093"/>
        </a:xfrm>
        <a:prstGeom prst="rect">
          <a:avLst/>
        </a:prstGeom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49</xdr:row>
      <xdr:rowOff>0</xdr:rowOff>
    </xdr:from>
    <xdr:to>
      <xdr:col>7</xdr:col>
      <xdr:colOff>453571</xdr:colOff>
      <xdr:row>61</xdr:row>
      <xdr:rowOff>219710</xdr:rowOff>
    </xdr:to>
    <xdr:graphicFrame macro="">
      <xdr:nvGraphicFramePr>
        <xdr:cNvPr id="3" name="차트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3</xdr:col>
      <xdr:colOff>27214</xdr:colOff>
      <xdr:row>20</xdr:row>
      <xdr:rowOff>36286</xdr:rowOff>
    </xdr:from>
    <xdr:to>
      <xdr:col>4</xdr:col>
      <xdr:colOff>498928</xdr:colOff>
      <xdr:row>29</xdr:row>
      <xdr:rowOff>165069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83643" y="4599215"/>
          <a:ext cx="2213428" cy="1924925"/>
        </a:xfrm>
        <a:prstGeom prst="rect">
          <a:avLst/>
        </a:prstGeom>
      </xdr:spPr>
    </xdr:pic>
    <xdr:clientData/>
  </xdr:twoCellAnchor>
  <xdr:twoCellAnchor editAs="oneCell">
    <xdr:from>
      <xdr:col>4</xdr:col>
      <xdr:colOff>494713</xdr:colOff>
      <xdr:row>20</xdr:row>
      <xdr:rowOff>32072</xdr:rowOff>
    </xdr:from>
    <xdr:to>
      <xdr:col>5</xdr:col>
      <xdr:colOff>1110219</xdr:colOff>
      <xdr:row>29</xdr:row>
      <xdr:rowOff>181429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92856" y="4595001"/>
          <a:ext cx="2266506" cy="1945499"/>
        </a:xfrm>
        <a:prstGeom prst="rect">
          <a:avLst/>
        </a:prstGeom>
      </xdr:spPr>
    </xdr:pic>
    <xdr:clientData/>
  </xdr:twoCellAnchor>
  <xdr:twoCellAnchor editAs="oneCell">
    <xdr:from>
      <xdr:col>5</xdr:col>
      <xdr:colOff>1116427</xdr:colOff>
      <xdr:row>20</xdr:row>
      <xdr:rowOff>46000</xdr:rowOff>
    </xdr:from>
    <xdr:to>
      <xdr:col>6</xdr:col>
      <xdr:colOff>1273801</xdr:colOff>
      <xdr:row>29</xdr:row>
      <xdr:rowOff>163286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65570" y="4608929"/>
          <a:ext cx="2234731" cy="1913428"/>
        </a:xfrm>
        <a:prstGeom prst="rect">
          <a:avLst/>
        </a:prstGeom>
      </xdr:spPr>
    </xdr:pic>
    <xdr:clientData/>
  </xdr:twoCellAnchor>
  <xdr:twoCellAnchor editAs="oneCell">
    <xdr:from>
      <xdr:col>8</xdr:col>
      <xdr:colOff>23643</xdr:colOff>
      <xdr:row>20</xdr:row>
      <xdr:rowOff>36286</xdr:rowOff>
    </xdr:from>
    <xdr:to>
      <xdr:col>10</xdr:col>
      <xdr:colOff>945453</xdr:colOff>
      <xdr:row>29</xdr:row>
      <xdr:rowOff>192504</xdr:rowOff>
    </xdr:to>
    <xdr:pic>
      <xdr:nvPicPr>
        <xdr:cNvPr id="9" name="그림 8"/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2754"/>
        <a:stretch/>
      </xdr:blipFill>
      <xdr:spPr>
        <a:xfrm>
          <a:off x="10718857" y="4599215"/>
          <a:ext cx="2971953" cy="1952360"/>
        </a:xfrm>
        <a:prstGeom prst="rect">
          <a:avLst/>
        </a:prstGeom>
      </xdr:spPr>
    </xdr:pic>
    <xdr:clientData/>
  </xdr:twoCellAnchor>
  <xdr:twoCellAnchor editAs="oneCell">
    <xdr:from>
      <xdr:col>8</xdr:col>
      <xdr:colOff>35486</xdr:colOff>
      <xdr:row>30</xdr:row>
      <xdr:rowOff>17743</xdr:rowOff>
    </xdr:from>
    <xdr:to>
      <xdr:col>10</xdr:col>
      <xdr:colOff>889000</xdr:colOff>
      <xdr:row>38</xdr:row>
      <xdr:rowOff>171583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30700" y="6585457"/>
          <a:ext cx="2903657" cy="1614339"/>
        </a:xfrm>
        <a:prstGeom prst="rect">
          <a:avLst/>
        </a:prstGeom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47</xdr:row>
      <xdr:rowOff>0</xdr:rowOff>
    </xdr:from>
    <xdr:to>
      <xdr:col>7</xdr:col>
      <xdr:colOff>453571</xdr:colOff>
      <xdr:row>59</xdr:row>
      <xdr:rowOff>219710</xdr:rowOff>
    </xdr:to>
    <xdr:graphicFrame macro="">
      <xdr:nvGraphicFramePr>
        <xdr:cNvPr id="2" name="차트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5</xdr:col>
      <xdr:colOff>1650999</xdr:colOff>
      <xdr:row>20</xdr:row>
      <xdr:rowOff>37352</xdr:rowOff>
    </xdr:from>
    <xdr:to>
      <xdr:col>7</xdr:col>
      <xdr:colOff>418352</xdr:colOff>
      <xdr:row>27</xdr:row>
      <xdr:rowOff>171824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04411" y="5169646"/>
          <a:ext cx="2218765" cy="1957296"/>
        </a:xfrm>
        <a:prstGeom prst="rect">
          <a:avLst/>
        </a:prstGeom>
      </xdr:spPr>
    </xdr:pic>
    <xdr:clientData/>
  </xdr:twoCellAnchor>
  <xdr:twoCellAnchor editAs="oneCell">
    <xdr:from>
      <xdr:col>4</xdr:col>
      <xdr:colOff>635586</xdr:colOff>
      <xdr:row>20</xdr:row>
      <xdr:rowOff>30470</xdr:rowOff>
    </xdr:from>
    <xdr:to>
      <xdr:col>5</xdr:col>
      <xdr:colOff>1612317</xdr:colOff>
      <xdr:row>27</xdr:row>
      <xdr:rowOff>179294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37998" y="5162764"/>
          <a:ext cx="2627731" cy="1971648"/>
        </a:xfrm>
        <a:prstGeom prst="rect">
          <a:avLst/>
        </a:prstGeom>
      </xdr:spPr>
    </xdr:pic>
    <xdr:clientData/>
  </xdr:twoCellAnchor>
  <xdr:twoCellAnchor editAs="oneCell">
    <xdr:from>
      <xdr:col>3</xdr:col>
      <xdr:colOff>23586</xdr:colOff>
      <xdr:row>20</xdr:row>
      <xdr:rowOff>22410</xdr:rowOff>
    </xdr:from>
    <xdr:to>
      <xdr:col>4</xdr:col>
      <xdr:colOff>620059</xdr:colOff>
      <xdr:row>27</xdr:row>
      <xdr:rowOff>189237</xdr:rowOff>
    </xdr:to>
    <xdr:pic>
      <xdr:nvPicPr>
        <xdr:cNvPr id="10" name="그림 9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106"/>
        <a:stretch/>
      </xdr:blipFill>
      <xdr:spPr>
        <a:xfrm>
          <a:off x="3385351" y="5154704"/>
          <a:ext cx="2337120" cy="1989651"/>
        </a:xfrm>
        <a:prstGeom prst="rect">
          <a:avLst/>
        </a:prstGeom>
      </xdr:spPr>
    </xdr:pic>
    <xdr:clientData/>
  </xdr:twoCellAnchor>
  <xdr:twoCellAnchor editAs="oneCell">
    <xdr:from>
      <xdr:col>8</xdr:col>
      <xdr:colOff>28163</xdr:colOff>
      <xdr:row>22</xdr:row>
      <xdr:rowOff>82176</xdr:rowOff>
    </xdr:from>
    <xdr:to>
      <xdr:col>10</xdr:col>
      <xdr:colOff>424489</xdr:colOff>
      <xdr:row>33</xdr:row>
      <xdr:rowOff>78203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18575" y="6028764"/>
          <a:ext cx="2443267" cy="2087792"/>
        </a:xfrm>
        <a:prstGeom prst="rect">
          <a:avLst/>
        </a:prstGeom>
      </xdr:spPr>
    </xdr:pic>
    <xdr:clientData/>
  </xdr:twoCellAnchor>
  <xdr:twoCellAnchor editAs="oneCell">
    <xdr:from>
      <xdr:col>8</xdr:col>
      <xdr:colOff>5909</xdr:colOff>
      <xdr:row>17</xdr:row>
      <xdr:rowOff>65296</xdr:rowOff>
    </xdr:from>
    <xdr:to>
      <xdr:col>10</xdr:col>
      <xdr:colOff>317122</xdr:colOff>
      <xdr:row>22</xdr:row>
      <xdr:rowOff>26119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96321" y="3950002"/>
          <a:ext cx="2358154" cy="2022705"/>
        </a:xfrm>
        <a:prstGeom prst="rect">
          <a:avLst/>
        </a:prstGeom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47</xdr:row>
      <xdr:rowOff>0</xdr:rowOff>
    </xdr:from>
    <xdr:to>
      <xdr:col>7</xdr:col>
      <xdr:colOff>453571</xdr:colOff>
      <xdr:row>59</xdr:row>
      <xdr:rowOff>219710</xdr:rowOff>
    </xdr:to>
    <xdr:graphicFrame macro="">
      <xdr:nvGraphicFramePr>
        <xdr:cNvPr id="2" name="차트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52294</xdr:colOff>
      <xdr:row>20</xdr:row>
      <xdr:rowOff>50369</xdr:rowOff>
    </xdr:from>
    <xdr:to>
      <xdr:col>7</xdr:col>
      <xdr:colOff>472181</xdr:colOff>
      <xdr:row>27</xdr:row>
      <xdr:rowOff>171823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82529" y="4682134"/>
          <a:ext cx="1794476" cy="1533395"/>
        </a:xfrm>
        <a:prstGeom prst="rect">
          <a:avLst/>
        </a:prstGeom>
      </xdr:spPr>
    </xdr:pic>
    <xdr:clientData/>
  </xdr:twoCellAnchor>
  <xdr:twoCellAnchor editAs="oneCell">
    <xdr:from>
      <xdr:col>3</xdr:col>
      <xdr:colOff>1671138</xdr:colOff>
      <xdr:row>20</xdr:row>
      <xdr:rowOff>46862</xdr:rowOff>
    </xdr:from>
    <xdr:to>
      <xdr:col>5</xdr:col>
      <xdr:colOff>470646</xdr:colOff>
      <xdr:row>27</xdr:row>
      <xdr:rowOff>181511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32903" y="4678627"/>
          <a:ext cx="2191155" cy="1546590"/>
        </a:xfrm>
        <a:prstGeom prst="rect">
          <a:avLst/>
        </a:prstGeom>
      </xdr:spPr>
    </xdr:pic>
    <xdr:clientData/>
  </xdr:twoCellAnchor>
  <xdr:twoCellAnchor editAs="oneCell">
    <xdr:from>
      <xdr:col>3</xdr:col>
      <xdr:colOff>25163</xdr:colOff>
      <xdr:row>20</xdr:row>
      <xdr:rowOff>44822</xdr:rowOff>
    </xdr:from>
    <xdr:to>
      <xdr:col>4</xdr:col>
      <xdr:colOff>127000</xdr:colOff>
      <xdr:row>27</xdr:row>
      <xdr:rowOff>169114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86928" y="4676587"/>
          <a:ext cx="1842484" cy="1536233"/>
        </a:xfrm>
        <a:prstGeom prst="rect">
          <a:avLst/>
        </a:prstGeom>
      </xdr:spPr>
    </xdr:pic>
    <xdr:clientData/>
  </xdr:twoCellAnchor>
  <xdr:twoCellAnchor editAs="oneCell">
    <xdr:from>
      <xdr:col>5</xdr:col>
      <xdr:colOff>237958</xdr:colOff>
      <xdr:row>20</xdr:row>
      <xdr:rowOff>41549</xdr:rowOff>
    </xdr:from>
    <xdr:to>
      <xdr:col>6</xdr:col>
      <xdr:colOff>336172</xdr:colOff>
      <xdr:row>27</xdr:row>
      <xdr:rowOff>167701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91370" y="4673314"/>
          <a:ext cx="2175037" cy="15380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3.xml"/><Relationship Id="rId2" Type="http://schemas.openxmlformats.org/officeDocument/2006/relationships/printerSettings" Target="../printerSettings/printerSettings23.bin"/><Relationship Id="rId1" Type="http://schemas.openxmlformats.org/officeDocument/2006/relationships/hyperlink" Target="https://vimeo.com/441201522/0c64dff02f" TargetMode="External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K37"/>
  <sheetViews>
    <sheetView tabSelected="1" zoomScale="55" zoomScaleNormal="55" workbookViewId="0">
      <pane ySplit="1" topLeftCell="A2" activePane="bottomLeft" state="frozen"/>
      <selection pane="bottomLeft" activeCell="L7" sqref="L7"/>
    </sheetView>
  </sheetViews>
  <sheetFormatPr defaultRowHeight="17"/>
  <cols>
    <col min="1" max="1" width="18" style="756" bestFit="1" customWidth="1"/>
    <col min="2" max="2" width="26.9140625" style="756" bestFit="1" customWidth="1"/>
    <col min="3" max="3" width="33.83203125" style="756" bestFit="1" customWidth="1"/>
    <col min="4" max="4" width="21.75" style="756" customWidth="1"/>
    <col min="5" max="5" width="26.58203125" style="756" bestFit="1" customWidth="1"/>
    <col min="6" max="6" width="24.58203125" style="756" customWidth="1"/>
    <col min="7" max="7" width="39.75" style="757" bestFit="1" customWidth="1"/>
    <col min="8" max="8" width="21.4140625" style="756" bestFit="1" customWidth="1"/>
    <col min="9" max="9" width="27.08203125" style="756" bestFit="1" customWidth="1"/>
    <col min="10" max="10" width="27.5" style="756" bestFit="1" customWidth="1"/>
    <col min="11" max="16384" width="8.6640625" style="756"/>
  </cols>
  <sheetData>
    <row r="1" spans="1:11" ht="95.5" customHeight="1">
      <c r="A1" s="768" t="s">
        <v>471</v>
      </c>
      <c r="B1" s="769" t="s">
        <v>1210</v>
      </c>
      <c r="C1" s="769" t="s">
        <v>1211</v>
      </c>
      <c r="D1" s="769" t="s">
        <v>1283</v>
      </c>
      <c r="E1" s="769" t="s">
        <v>1348</v>
      </c>
      <c r="F1" s="769" t="s">
        <v>1284</v>
      </c>
      <c r="G1" s="769" t="s">
        <v>1371</v>
      </c>
      <c r="H1" s="769" t="s">
        <v>1285</v>
      </c>
      <c r="I1" s="769" t="s">
        <v>1347</v>
      </c>
      <c r="J1" s="770" t="s">
        <v>470</v>
      </c>
      <c r="K1" s="793" t="s">
        <v>1474</v>
      </c>
    </row>
    <row r="2" spans="1:11" ht="27.5" customHeight="1">
      <c r="A2" s="771" t="s">
        <v>1212</v>
      </c>
      <c r="B2" s="761" t="s">
        <v>1213</v>
      </c>
      <c r="C2" s="761" t="s">
        <v>1214</v>
      </c>
      <c r="D2" s="762">
        <f>감만1구역!F44</f>
        <v>21760000</v>
      </c>
      <c r="E2" s="763">
        <f>감만1구역!C44</f>
        <v>8940000</v>
      </c>
      <c r="F2" s="764">
        <f>감만1구역!C55</f>
        <v>190000000</v>
      </c>
      <c r="G2" s="765">
        <f>감만1구역!H55</f>
        <v>14528235.294117646</v>
      </c>
      <c r="H2" s="766">
        <f>G2-D2</f>
        <v>-7231764.7058823537</v>
      </c>
      <c r="I2" s="787">
        <f>감만1구역!I55</f>
        <v>0.6676578719723183</v>
      </c>
      <c r="J2" s="772" t="s">
        <v>1215</v>
      </c>
    </row>
    <row r="3" spans="1:11" ht="27.5" customHeight="1">
      <c r="A3" s="771" t="s">
        <v>1216</v>
      </c>
      <c r="B3" s="761" t="s">
        <v>1217</v>
      </c>
      <c r="C3" s="761" t="s">
        <v>1214</v>
      </c>
      <c r="D3" s="762">
        <f>우암2구역!F47</f>
        <v>21760000</v>
      </c>
      <c r="E3" s="763">
        <f>우암2구역!C47</f>
        <v>8262647</v>
      </c>
      <c r="F3" s="764">
        <f>우암2구역!C58</f>
        <v>260000000</v>
      </c>
      <c r="G3" s="765">
        <f>우암2구역!H58</f>
        <v>15909705.823529411</v>
      </c>
      <c r="H3" s="766">
        <f>G3-D3</f>
        <v>-5850294.1764705889</v>
      </c>
      <c r="I3" s="787">
        <f>우암2구역!I58</f>
        <v>0.73114456909602077</v>
      </c>
      <c r="J3" s="772" t="s">
        <v>1218</v>
      </c>
    </row>
    <row r="4" spans="1:11" ht="27.5" customHeight="1">
      <c r="A4" s="771" t="s">
        <v>1219</v>
      </c>
      <c r="B4" s="761" t="s">
        <v>452</v>
      </c>
      <c r="C4" s="761" t="s">
        <v>1214</v>
      </c>
      <c r="D4" s="762">
        <f>우암1구역!F47</f>
        <v>21760000</v>
      </c>
      <c r="E4" s="763">
        <f>우암1구역!C47</f>
        <v>8080000</v>
      </c>
      <c r="F4" s="764">
        <f>우암1구역!C57</f>
        <v>280000000</v>
      </c>
      <c r="G4" s="765">
        <f>우암1구역!H57</f>
        <v>16315294.117647059</v>
      </c>
      <c r="H4" s="766">
        <f t="shared" ref="H4:H37" si="0">G4-D4</f>
        <v>-5444705.8823529407</v>
      </c>
      <c r="I4" s="787">
        <f>우암1구역!I57</f>
        <v>0.74978373702422152</v>
      </c>
      <c r="J4" s="772" t="s">
        <v>1220</v>
      </c>
    </row>
    <row r="5" spans="1:11" ht="27.5" customHeight="1">
      <c r="A5" s="771" t="s">
        <v>1221</v>
      </c>
      <c r="B5" s="761" t="s">
        <v>445</v>
      </c>
      <c r="C5" s="761" t="s">
        <v>1222</v>
      </c>
      <c r="D5" s="762">
        <f>대연3구역!F44</f>
        <v>26670000</v>
      </c>
      <c r="E5" s="763">
        <f>대연3구역!C44</f>
        <v>10517147.05882353</v>
      </c>
      <c r="F5" s="764">
        <f>대연3구역!C54</f>
        <v>650000000</v>
      </c>
      <c r="G5" s="765">
        <f>대연3구역!H54</f>
        <v>29634794.117647059</v>
      </c>
      <c r="H5" s="766">
        <f t="shared" si="0"/>
        <v>2964794.1176470593</v>
      </c>
      <c r="I5" s="787">
        <f>대연3구역!I54</f>
        <v>1.1111658836763052</v>
      </c>
      <c r="J5" s="772"/>
    </row>
    <row r="6" spans="1:11" ht="27.5" customHeight="1">
      <c r="A6" s="771" t="s">
        <v>1223</v>
      </c>
      <c r="B6" s="761" t="s">
        <v>1224</v>
      </c>
      <c r="C6" s="761" t="s">
        <v>1214</v>
      </c>
      <c r="D6" s="762">
        <f>대연4구역!F49</f>
        <v>21760000</v>
      </c>
      <c r="E6" s="763">
        <f>대연4구역!C49</f>
        <v>9740110.1212121211</v>
      </c>
      <c r="F6" s="764">
        <f>대연4구역!C60</f>
        <v>450000000</v>
      </c>
      <c r="G6" s="765">
        <f>대연4구역!H60</f>
        <v>22975404.23885918</v>
      </c>
      <c r="H6" s="766">
        <f t="shared" si="0"/>
        <v>1215404.2388591804</v>
      </c>
      <c r="I6" s="787">
        <f>대연4구역!I60</f>
        <v>1.0558549742122785</v>
      </c>
      <c r="J6" s="773"/>
    </row>
    <row r="7" spans="1:11" ht="27.5" customHeight="1">
      <c r="A7" s="771" t="s">
        <v>1225</v>
      </c>
      <c r="B7" s="761" t="s">
        <v>1226</v>
      </c>
      <c r="C7" s="761" t="s">
        <v>1214</v>
      </c>
      <c r="D7" s="762">
        <f>대연8구역!F46</f>
        <v>21760000</v>
      </c>
      <c r="E7" s="763">
        <f>대연8구역!C46</f>
        <v>15231999.999999998</v>
      </c>
      <c r="F7" s="764">
        <f>대연8구역!C57</f>
        <v>420000000</v>
      </c>
      <c r="G7" s="765">
        <f>대연8구역!H57</f>
        <v>27584941.176470589</v>
      </c>
      <c r="H7" s="766">
        <f t="shared" si="0"/>
        <v>5824941.1764705889</v>
      </c>
      <c r="I7" s="788">
        <f>대연8구역!I57</f>
        <v>1.267690311418685</v>
      </c>
      <c r="J7" s="772" t="s">
        <v>1282</v>
      </c>
    </row>
    <row r="8" spans="1:11" ht="27.5" customHeight="1">
      <c r="A8" s="771" t="s">
        <v>1227</v>
      </c>
      <c r="B8" s="761" t="s">
        <v>1228</v>
      </c>
      <c r="C8" s="761" t="s">
        <v>79</v>
      </c>
      <c r="D8" s="762">
        <f>복산1구역!F49</f>
        <v>27500000</v>
      </c>
      <c r="E8" s="763">
        <f>복산1구역!C49</f>
        <v>19250000</v>
      </c>
      <c r="F8" s="764">
        <f>복산1구역!C61</f>
        <v>380000000</v>
      </c>
      <c r="G8" s="765">
        <f>복산1구역!H61</f>
        <v>30426470.588235293</v>
      </c>
      <c r="H8" s="766">
        <f t="shared" si="0"/>
        <v>2926470.5882352926</v>
      </c>
      <c r="I8" s="787">
        <f>복산1구역!I61</f>
        <v>1.1064171122994653</v>
      </c>
      <c r="J8" s="772" t="s">
        <v>1280</v>
      </c>
    </row>
    <row r="9" spans="1:11" ht="27.5" customHeight="1">
      <c r="A9" s="771" t="s">
        <v>1229</v>
      </c>
      <c r="B9" s="761" t="s">
        <v>1230</v>
      </c>
      <c r="C9" s="761" t="s">
        <v>1231</v>
      </c>
      <c r="D9" s="762">
        <f>우동3구역!F49</f>
        <v>39650000</v>
      </c>
      <c r="E9" s="763">
        <f>우동3구역!C49</f>
        <v>27755000</v>
      </c>
      <c r="F9" s="764">
        <f>우동3구역!C61</f>
        <v>790000000</v>
      </c>
      <c r="G9" s="765">
        <f>우동3구역!H61</f>
        <v>50990294.117647059</v>
      </c>
      <c r="H9" s="766">
        <f t="shared" si="0"/>
        <v>11340294.117647059</v>
      </c>
      <c r="I9" s="788">
        <f>우동3구역!I61</f>
        <v>1.2860099399154366</v>
      </c>
      <c r="J9" s="772" t="s">
        <v>1281</v>
      </c>
    </row>
    <row r="10" spans="1:11" ht="27.5" customHeight="1">
      <c r="A10" s="771" t="s">
        <v>1232</v>
      </c>
      <c r="B10" s="761" t="s">
        <v>445</v>
      </c>
      <c r="C10" s="761" t="s">
        <v>1188</v>
      </c>
      <c r="D10" s="762">
        <f>광안2구역!F43</f>
        <v>30290000</v>
      </c>
      <c r="E10" s="763">
        <f>광안2구역!C43</f>
        <v>11647058.823529411</v>
      </c>
      <c r="F10" s="764">
        <f>광안2구역!C53</f>
        <v>780000000</v>
      </c>
      <c r="G10" s="765">
        <f>광안2구역!H53</f>
        <v>34588235.294117644</v>
      </c>
      <c r="H10" s="766">
        <f t="shared" si="0"/>
        <v>4298235.2941176444</v>
      </c>
      <c r="I10" s="787">
        <f>광안2구역!I53</f>
        <v>1.1419027829025303</v>
      </c>
      <c r="J10" s="773"/>
    </row>
    <row r="11" spans="1:11" ht="27.5" customHeight="1">
      <c r="A11" s="771" t="s">
        <v>1233</v>
      </c>
      <c r="B11" s="761" t="s">
        <v>1228</v>
      </c>
      <c r="C11" s="761" t="s">
        <v>94</v>
      </c>
      <c r="D11" s="762">
        <f>'서금사 재정비 촉진A'!F44</f>
        <v>34410000</v>
      </c>
      <c r="E11" s="763">
        <f>'서금사 재정비 촉진A'!C44</f>
        <v>24087000</v>
      </c>
      <c r="F11" s="764">
        <f>'서금사 재정비 촉진A'!C55</f>
        <v>770000000</v>
      </c>
      <c r="G11" s="765">
        <f>'서금사 재정비 촉진A'!H55</f>
        <v>46734058.823529415</v>
      </c>
      <c r="H11" s="766">
        <f t="shared" si="0"/>
        <v>12324058.823529415</v>
      </c>
      <c r="I11" s="787">
        <f>'서금사 재정비 촉진A'!I55</f>
        <v>1.3581534095765595</v>
      </c>
      <c r="J11" s="773"/>
    </row>
    <row r="12" spans="1:11" ht="27.5" customHeight="1">
      <c r="A12" s="771" t="s">
        <v>1234</v>
      </c>
      <c r="B12" s="761" t="s">
        <v>1228</v>
      </c>
      <c r="C12" s="761" t="s">
        <v>1390</v>
      </c>
      <c r="D12" s="762">
        <f>'서금사 재정비 촉진5'!F44</f>
        <v>23230000</v>
      </c>
      <c r="E12" s="763">
        <f>'서금사 재정비 촉진5'!C44</f>
        <v>16260999.999999998</v>
      </c>
      <c r="F12" s="764">
        <f>'서금사 재정비 촉진5'!C54</f>
        <v>190000000</v>
      </c>
      <c r="G12" s="765">
        <f>'서금사 재정비 촉진5'!H54</f>
        <v>21849235.294117644</v>
      </c>
      <c r="H12" s="766">
        <f t="shared" si="0"/>
        <v>-1380764.7058823556</v>
      </c>
      <c r="I12" s="787">
        <f>'서금사 재정비 촉진5'!I54</f>
        <v>0.94056114051302819</v>
      </c>
      <c r="J12" s="772" t="s">
        <v>1235</v>
      </c>
    </row>
    <row r="13" spans="1:11" ht="27.5" customHeight="1">
      <c r="A13" s="771" t="s">
        <v>1236</v>
      </c>
      <c r="B13" s="761" t="s">
        <v>1237</v>
      </c>
      <c r="C13" s="761" t="s">
        <v>1238</v>
      </c>
      <c r="D13" s="762">
        <f>온천4!F63</f>
        <v>34410000</v>
      </c>
      <c r="E13" s="763">
        <f>온천4!C63</f>
        <v>10513263</v>
      </c>
      <c r="F13" s="764">
        <f>온천4!C80</f>
        <v>740000000</v>
      </c>
      <c r="G13" s="765">
        <f>온천4!H80</f>
        <v>32277968.882352941</v>
      </c>
      <c r="H13" s="766">
        <f t="shared" si="0"/>
        <v>-2132031.1176470593</v>
      </c>
      <c r="I13" s="787">
        <f>온천4!I80</f>
        <v>0.93804036275364544</v>
      </c>
      <c r="J13" s="773"/>
    </row>
    <row r="14" spans="1:11" ht="27.5" customHeight="1">
      <c r="A14" s="771" t="s">
        <v>1239</v>
      </c>
      <c r="B14" s="761" t="s">
        <v>1237</v>
      </c>
      <c r="C14" s="761" t="s">
        <v>1180</v>
      </c>
      <c r="D14" s="762">
        <f>양정1구역!F50</f>
        <v>23520000</v>
      </c>
      <c r="E14" s="763">
        <f>양정1구역!C50</f>
        <v>10111000</v>
      </c>
      <c r="F14" s="764">
        <f>양정1구역!C62</f>
        <v>600000000</v>
      </c>
      <c r="G14" s="765">
        <f>양정1구역!H62</f>
        <v>27758058.823529411</v>
      </c>
      <c r="H14" s="766">
        <f t="shared" si="0"/>
        <v>4238058.8235294111</v>
      </c>
      <c r="I14" s="787">
        <f>양정1구역!I62</f>
        <v>1.180189575830332</v>
      </c>
      <c r="J14" s="773"/>
    </row>
    <row r="15" spans="1:11" ht="27.5" customHeight="1">
      <c r="A15" s="771" t="s">
        <v>1240</v>
      </c>
      <c r="B15" s="761" t="s">
        <v>1237</v>
      </c>
      <c r="C15" s="761" t="s">
        <v>1180</v>
      </c>
      <c r="D15" s="762">
        <f>양정2구역!F50</f>
        <v>23520000</v>
      </c>
      <c r="E15" s="763">
        <f>양정2구역!C50</f>
        <v>9555764.7058823537</v>
      </c>
      <c r="F15" s="764">
        <f>양정2구역!C62</f>
        <v>600000000</v>
      </c>
      <c r="G15" s="765">
        <f>양정2구역!H62</f>
        <v>27202823.529411763</v>
      </c>
      <c r="H15" s="766">
        <f t="shared" si="0"/>
        <v>3682823.529411763</v>
      </c>
      <c r="I15" s="787">
        <f>양정2구역!I62</f>
        <v>1.1565826330532212</v>
      </c>
      <c r="J15" s="773"/>
    </row>
    <row r="16" spans="1:11" ht="27.5" customHeight="1">
      <c r="A16" s="771" t="s">
        <v>1241</v>
      </c>
      <c r="B16" s="761" t="s">
        <v>1242</v>
      </c>
      <c r="C16" s="761" t="s">
        <v>1180</v>
      </c>
      <c r="D16" s="762">
        <f>양정3구역!F43</f>
        <v>23520000</v>
      </c>
      <c r="E16" s="763">
        <f>양정3구역!C43</f>
        <v>13300000</v>
      </c>
      <c r="F16" s="764">
        <f>양정3구역!C55</f>
        <v>570000000</v>
      </c>
      <c r="G16" s="765">
        <f>양정3구역!H55</f>
        <v>30064705.882352941</v>
      </c>
      <c r="H16" s="766">
        <f t="shared" si="0"/>
        <v>6544705.8823529407</v>
      </c>
      <c r="I16" s="788">
        <f>양정3구역!I55</f>
        <v>1.2782613045218087</v>
      </c>
      <c r="J16" s="772" t="s">
        <v>1243</v>
      </c>
    </row>
    <row r="17" spans="1:10" ht="27.5" customHeight="1">
      <c r="A17" s="771" t="s">
        <v>1244</v>
      </c>
      <c r="B17" s="761" t="s">
        <v>1237</v>
      </c>
      <c r="C17" s="761" t="s">
        <v>1178</v>
      </c>
      <c r="D17" s="762">
        <f>거제2구역!F52</f>
        <v>32940000</v>
      </c>
      <c r="E17" s="763">
        <f>거제2구역!C52</f>
        <v>9445588.2352941185</v>
      </c>
      <c r="F17" s="764">
        <f>거제2구역!C66</f>
        <v>1020000000</v>
      </c>
      <c r="G17" s="765">
        <f>거제2구역!H66</f>
        <v>39445588.235294119</v>
      </c>
      <c r="H17" s="766">
        <f t="shared" si="0"/>
        <v>6505588.2352941185</v>
      </c>
      <c r="I17" s="788">
        <f>거제2구역!I66</f>
        <v>1.1974981249330334</v>
      </c>
      <c r="J17" s="772" t="s">
        <v>1245</v>
      </c>
    </row>
    <row r="18" spans="1:10" ht="27.5" customHeight="1">
      <c r="A18" s="771" t="s">
        <v>1246</v>
      </c>
      <c r="B18" s="761" t="s">
        <v>1247</v>
      </c>
      <c r="C18" s="761" t="s">
        <v>1389</v>
      </c>
      <c r="D18" s="762">
        <f>시민공원촉진3구역!F40</f>
        <v>27290000</v>
      </c>
      <c r="E18" s="763">
        <f>시민공원촉진3구역!C40</f>
        <v>19103000</v>
      </c>
      <c r="F18" s="764">
        <f>시민공원촉진3구역!C47</f>
        <v>870000000</v>
      </c>
      <c r="G18" s="765">
        <f>시민공원촉진3구역!H47</f>
        <v>44691235.294117644</v>
      </c>
      <c r="H18" s="766">
        <f t="shared" si="0"/>
        <v>17401235.294117644</v>
      </c>
      <c r="I18" s="788">
        <f>시민공원촉진3구역!I47</f>
        <v>1.6376414545297782</v>
      </c>
      <c r="J18" s="792" t="s">
        <v>1372</v>
      </c>
    </row>
    <row r="19" spans="1:10" ht="27.5" customHeight="1">
      <c r="A19" s="771" t="s">
        <v>1373</v>
      </c>
      <c r="B19" s="761" t="s">
        <v>1247</v>
      </c>
      <c r="C19" s="761" t="s">
        <v>1389</v>
      </c>
      <c r="D19" s="762">
        <f>시민공원촉진4구역!F43</f>
        <v>27290000</v>
      </c>
      <c r="E19" s="763">
        <f>시민공원촉진4구역!C43</f>
        <v>19103000</v>
      </c>
      <c r="F19" s="764">
        <f>시민공원촉진4구역!C51</f>
        <v>400000000</v>
      </c>
      <c r="G19" s="765">
        <f>시민공원촉진4구역!H51</f>
        <v>30867705.882352941</v>
      </c>
      <c r="H19" s="766">
        <f t="shared" ref="H19" si="1">G19-D19</f>
        <v>3577705.8823529407</v>
      </c>
      <c r="I19" s="788">
        <f>시민공원촉진4구역!I49</f>
        <v>1.1310995193240359</v>
      </c>
      <c r="J19" s="792" t="s">
        <v>1372</v>
      </c>
    </row>
    <row r="20" spans="1:10" ht="27.5" customHeight="1">
      <c r="A20" s="771" t="s">
        <v>1248</v>
      </c>
      <c r="B20" s="761" t="s">
        <v>1228</v>
      </c>
      <c r="C20" s="761" t="s">
        <v>1249</v>
      </c>
      <c r="D20" s="762">
        <f>가야1구역!F43</f>
        <v>24280000</v>
      </c>
      <c r="E20" s="763">
        <f>가야1구역!C43</f>
        <v>16996000</v>
      </c>
      <c r="F20" s="764">
        <f>가야1구역!C51</f>
        <v>340000000</v>
      </c>
      <c r="G20" s="765">
        <f>가야1구역!H51</f>
        <v>26996000</v>
      </c>
      <c r="H20" s="766">
        <f t="shared" si="0"/>
        <v>2716000</v>
      </c>
      <c r="I20" s="787">
        <f>가야1구역!I51</f>
        <v>1.1118616144975288</v>
      </c>
      <c r="J20" s="773"/>
    </row>
    <row r="21" spans="1:10" ht="27.5" customHeight="1">
      <c r="A21" s="771" t="s">
        <v>1250</v>
      </c>
      <c r="B21" s="761" t="s">
        <v>1228</v>
      </c>
      <c r="C21" s="761" t="s">
        <v>1190</v>
      </c>
      <c r="D21" s="762">
        <f>범천4구역!F44</f>
        <v>26510000</v>
      </c>
      <c r="E21" s="763">
        <f>범천4구역!C44</f>
        <v>18557000</v>
      </c>
      <c r="F21" s="764">
        <f>범천4구역!C54</f>
        <v>290000000</v>
      </c>
      <c r="G21" s="765">
        <f>범천4구역!H54</f>
        <v>27086411.764705881</v>
      </c>
      <c r="H21" s="766">
        <f t="shared" si="0"/>
        <v>576411.76470588148</v>
      </c>
      <c r="I21" s="787">
        <f>범천4구역!I54</f>
        <v>1.0217431823729115</v>
      </c>
      <c r="J21" s="772" t="s">
        <v>1251</v>
      </c>
    </row>
    <row r="22" spans="1:10" ht="27.5" customHeight="1">
      <c r="A22" s="771" t="s">
        <v>1252</v>
      </c>
      <c r="B22" s="761" t="s">
        <v>1253</v>
      </c>
      <c r="C22" s="761" t="s">
        <v>1166</v>
      </c>
      <c r="D22" s="762">
        <f>'범천1-1구역'!F51</f>
        <v>22020000</v>
      </c>
      <c r="E22" s="763">
        <f>'범천1-1구역'!C51</f>
        <v>11369264.705882354</v>
      </c>
      <c r="F22" s="764">
        <f>'범천1-1구역'!C64</f>
        <v>620000000</v>
      </c>
      <c r="G22" s="765">
        <f>'범천1-1구역'!H64</f>
        <v>29604558.823529411</v>
      </c>
      <c r="H22" s="766">
        <f t="shared" si="0"/>
        <v>7584558.8235294111</v>
      </c>
      <c r="I22" s="787">
        <f>'범천1-1구역'!I64</f>
        <v>1.3444395469359405</v>
      </c>
      <c r="J22" s="772" t="s">
        <v>1254</v>
      </c>
    </row>
    <row r="23" spans="1:10" ht="27.5" customHeight="1">
      <c r="A23" s="771" t="s">
        <v>1255</v>
      </c>
      <c r="B23" s="761" t="s">
        <v>1256</v>
      </c>
      <c r="C23" s="761" t="s">
        <v>1166</v>
      </c>
      <c r="D23" s="762">
        <f>문현1구역!F49</f>
        <v>22020000</v>
      </c>
      <c r="E23" s="763">
        <f>문현1구역!C49</f>
        <v>15413999.999999998</v>
      </c>
      <c r="F23" s="764">
        <f>문현1구역!C61</f>
        <v>520000000</v>
      </c>
      <c r="G23" s="765">
        <f>문현1구역!H61</f>
        <v>30708117.647058822</v>
      </c>
      <c r="H23" s="766">
        <f t="shared" si="0"/>
        <v>8688117.6470588222</v>
      </c>
      <c r="I23" s="788">
        <f>문현1구역!I61</f>
        <v>1.3945557514558957</v>
      </c>
      <c r="J23" s="773"/>
    </row>
    <row r="24" spans="1:10" ht="27.5" customHeight="1">
      <c r="A24" s="771" t="s">
        <v>1257</v>
      </c>
      <c r="B24" s="761" t="s">
        <v>1258</v>
      </c>
      <c r="C24" s="761" t="s">
        <v>1166</v>
      </c>
      <c r="D24" s="762">
        <f>문현3구역!F49</f>
        <v>22020000</v>
      </c>
      <c r="E24" s="763">
        <f>문현3구역!C49</f>
        <v>15413999.999999998</v>
      </c>
      <c r="F24" s="764">
        <f>문현3구역!C60</f>
        <v>270000000</v>
      </c>
      <c r="G24" s="765">
        <f>문현3구역!H60</f>
        <v>23355176.470588237</v>
      </c>
      <c r="H24" s="766">
        <f t="shared" si="0"/>
        <v>1335176.470588237</v>
      </c>
      <c r="I24" s="787">
        <f>문현3구역!I60</f>
        <v>1.0606347171020998</v>
      </c>
      <c r="J24" s="772" t="s">
        <v>1259</v>
      </c>
    </row>
    <row r="25" spans="1:10" ht="27.5" customHeight="1">
      <c r="A25" s="771" t="s">
        <v>1260</v>
      </c>
      <c r="B25" s="761" t="s">
        <v>1261</v>
      </c>
      <c r="C25" s="761" t="s">
        <v>1262</v>
      </c>
      <c r="D25" s="762">
        <f>좌천범일통합2지구!F42</f>
        <v>21440000</v>
      </c>
      <c r="E25" s="763">
        <f>좌천범일통합2지구!C42</f>
        <v>15007999.999999998</v>
      </c>
      <c r="F25" s="764">
        <f>좌천범일통합2지구!C52</f>
        <v>360000000</v>
      </c>
      <c r="G25" s="765">
        <f>좌천범일통합2지구!H52</f>
        <v>25596235.294117648</v>
      </c>
      <c r="H25" s="766">
        <f t="shared" si="0"/>
        <v>4156235.2941176482</v>
      </c>
      <c r="I25" s="788">
        <f>좌천범일통합2지구!I52</f>
        <v>1.1938542581211589</v>
      </c>
      <c r="J25" s="772" t="s">
        <v>1263</v>
      </c>
    </row>
    <row r="26" spans="1:10" ht="27.5" customHeight="1">
      <c r="A26" s="771" t="s">
        <v>1264</v>
      </c>
      <c r="B26" s="761" t="s">
        <v>1247</v>
      </c>
      <c r="C26" s="761" t="s">
        <v>1194</v>
      </c>
      <c r="D26" s="762">
        <f>초량2구역!F46</f>
        <v>21170000</v>
      </c>
      <c r="E26" s="763">
        <f>초량2구역!C46</f>
        <v>14818999.999999998</v>
      </c>
      <c r="F26" s="764">
        <f>초량2구역!C55</f>
        <v>190000000</v>
      </c>
      <c r="G26" s="765">
        <f>초량2구역!H55</f>
        <v>20407235.294117648</v>
      </c>
      <c r="H26" s="766">
        <f t="shared" si="0"/>
        <v>-762764.70588235185</v>
      </c>
      <c r="I26" s="787">
        <f>초량2구역!I55</f>
        <v>0.96396954625024323</v>
      </c>
      <c r="J26" s="772" t="s">
        <v>1265</v>
      </c>
    </row>
    <row r="27" spans="1:10" ht="27.5" customHeight="1">
      <c r="A27" s="771" t="s">
        <v>1266</v>
      </c>
      <c r="B27" s="761" t="s">
        <v>1267</v>
      </c>
      <c r="C27" s="761" t="s">
        <v>1194</v>
      </c>
      <c r="D27" s="762">
        <f>초량3구역!F44</f>
        <v>21170000</v>
      </c>
      <c r="E27" s="763">
        <f>초량3구역!C44</f>
        <v>14818999.999999998</v>
      </c>
      <c r="F27" s="764">
        <f>초량3구역!C52</f>
        <v>310000000</v>
      </c>
      <c r="G27" s="765">
        <f>초량3구역!H52</f>
        <v>23936647.05882353</v>
      </c>
      <c r="H27" s="766">
        <f t="shared" si="0"/>
        <v>2766647.0588235296</v>
      </c>
      <c r="I27" s="787">
        <f>초량3구역!I52</f>
        <v>1.1306871544082915</v>
      </c>
      <c r="J27" s="772"/>
    </row>
    <row r="28" spans="1:10" ht="27.5" customHeight="1">
      <c r="A28" s="771" t="s">
        <v>1268</v>
      </c>
      <c r="B28" s="761" t="s">
        <v>1258</v>
      </c>
      <c r="C28" s="761" t="s">
        <v>1184</v>
      </c>
      <c r="D28" s="762">
        <f>괴정5구역!F58</f>
        <v>20580000</v>
      </c>
      <c r="E28" s="763">
        <f>괴정5구역!C58</f>
        <v>10515000</v>
      </c>
      <c r="F28" s="764">
        <f>괴정5구역!C76</f>
        <v>320000000</v>
      </c>
      <c r="G28" s="765">
        <f>괴정5구역!H76</f>
        <v>19926764.705882352</v>
      </c>
      <c r="H28" s="766">
        <f t="shared" si="0"/>
        <v>-653235.29411764815</v>
      </c>
      <c r="I28" s="787">
        <f>괴정5구역!I76</f>
        <v>0.96825873206425417</v>
      </c>
      <c r="J28" s="773"/>
    </row>
    <row r="29" spans="1:10" ht="27.5" customHeight="1">
      <c r="A29" s="771" t="s">
        <v>1429</v>
      </c>
      <c r="B29" s="813" t="s">
        <v>1451</v>
      </c>
      <c r="C29" s="761" t="s">
        <v>1184</v>
      </c>
      <c r="D29" s="762">
        <f>괴정6구역!F39</f>
        <v>20580000</v>
      </c>
      <c r="E29" s="763">
        <f>괴정6구역!C39</f>
        <v>14406000</v>
      </c>
      <c r="F29" s="764">
        <f>괴정6구역!C44</f>
        <v>110000000</v>
      </c>
      <c r="G29" s="765">
        <f>괴정6구역!H44</f>
        <v>17641294.117647059</v>
      </c>
      <c r="H29" s="766">
        <f t="shared" ref="H29" si="2">G29-D29</f>
        <v>-2938705.8823529407</v>
      </c>
      <c r="I29" s="787">
        <f>괴정6구역!I44</f>
        <v>0.85720573943863265</v>
      </c>
      <c r="J29" s="773"/>
    </row>
    <row r="30" spans="1:10" ht="27.5" customHeight="1">
      <c r="A30" s="771" t="s">
        <v>1269</v>
      </c>
      <c r="B30" s="761" t="s">
        <v>1237</v>
      </c>
      <c r="C30" s="761" t="s">
        <v>1270</v>
      </c>
      <c r="D30" s="762">
        <f>엄궁3구역!F42</f>
        <v>10200000</v>
      </c>
      <c r="E30" s="763">
        <f>엄궁3구역!C42</f>
        <v>8336704.176470588</v>
      </c>
      <c r="F30" s="764">
        <f>엄궁3구역!C49</f>
        <v>100000000</v>
      </c>
      <c r="G30" s="765">
        <f>엄궁3구역!H49</f>
        <v>11277880.647058824</v>
      </c>
      <c r="H30" s="766">
        <f t="shared" si="0"/>
        <v>1077880.6470588241</v>
      </c>
      <c r="I30" s="787">
        <f>엄궁3구역!I49</f>
        <v>1.1056745732410611</v>
      </c>
      <c r="J30" s="773"/>
    </row>
    <row r="31" spans="1:10" ht="27.5" customHeight="1">
      <c r="A31" s="771" t="s">
        <v>1271</v>
      </c>
      <c r="B31" s="761" t="s">
        <v>1228</v>
      </c>
      <c r="C31" s="761" t="s">
        <v>94</v>
      </c>
      <c r="D31" s="762">
        <f>부곡2구역!F51</f>
        <v>34410000</v>
      </c>
      <c r="E31" s="763">
        <f>부곡2구역!C51</f>
        <v>24087000</v>
      </c>
      <c r="F31" s="764">
        <f>부곡2구역!C59</f>
        <v>340000000</v>
      </c>
      <c r="G31" s="765">
        <f>부곡2구역!H59</f>
        <v>34087000</v>
      </c>
      <c r="H31" s="766">
        <f t="shared" si="0"/>
        <v>-323000</v>
      </c>
      <c r="I31" s="787">
        <f>부곡2구역!I59</f>
        <v>0.99061319383900026</v>
      </c>
      <c r="J31" s="772" t="s">
        <v>1272</v>
      </c>
    </row>
    <row r="32" spans="1:10" ht="27.5" customHeight="1">
      <c r="A32" s="771" t="s">
        <v>1273</v>
      </c>
      <c r="B32" s="761" t="s">
        <v>1256</v>
      </c>
      <c r="C32" s="761" t="s">
        <v>1166</v>
      </c>
      <c r="D32" s="762">
        <f>범일2구역!F42</f>
        <v>22020000</v>
      </c>
      <c r="E32" s="763">
        <f>범일2구역!C42</f>
        <v>15413999.999999998</v>
      </c>
      <c r="F32" s="764">
        <f>범일2구역!C50</f>
        <v>350000000</v>
      </c>
      <c r="G32" s="765">
        <f>범일2구역!H50</f>
        <v>25708117.647058822</v>
      </c>
      <c r="H32" s="766">
        <f t="shared" si="0"/>
        <v>3688117.6470588222</v>
      </c>
      <c r="I32" s="788">
        <f>범일2구역!I50</f>
        <v>1.1674894480953144</v>
      </c>
      <c r="J32" s="772"/>
    </row>
    <row r="33" spans="1:10" ht="27.5" customHeight="1">
      <c r="A33" s="771" t="s">
        <v>1274</v>
      </c>
      <c r="B33" s="761" t="s">
        <v>1267</v>
      </c>
      <c r="C33" s="761" t="s">
        <v>1275</v>
      </c>
      <c r="D33" s="762">
        <f>망미2구역!F43</f>
        <v>23520000</v>
      </c>
      <c r="E33" s="763">
        <f>망미2구역!C43</f>
        <v>16463999.999999998</v>
      </c>
      <c r="F33" s="764">
        <f>망미2구역!C53</f>
        <v>400000000</v>
      </c>
      <c r="G33" s="765">
        <f>망미2구역!H53</f>
        <v>28228705.882352937</v>
      </c>
      <c r="H33" s="766">
        <f t="shared" si="0"/>
        <v>4708705.882352937</v>
      </c>
      <c r="I33" s="787">
        <f>망미2구역!I53</f>
        <v>1.2002000800320127</v>
      </c>
      <c r="J33" s="772" t="s">
        <v>1374</v>
      </c>
    </row>
    <row r="34" spans="1:10" ht="27.5" customHeight="1">
      <c r="A34" s="771" t="s">
        <v>1276</v>
      </c>
      <c r="B34" s="761" t="s">
        <v>1267</v>
      </c>
      <c r="C34" s="796" t="s">
        <v>1391</v>
      </c>
      <c r="D34" s="762">
        <f>용호2구역!F40</f>
        <v>14830000</v>
      </c>
      <c r="E34" s="763">
        <f>용호2구역!C40</f>
        <v>10381000</v>
      </c>
      <c r="F34" s="764">
        <f>용호2구역!C51</f>
        <v>250000000</v>
      </c>
      <c r="G34" s="765">
        <f>용호2구역!H51</f>
        <v>17733941.176470589</v>
      </c>
      <c r="H34" s="766">
        <f t="shared" si="0"/>
        <v>2903941.1764705889</v>
      </c>
      <c r="I34" s="787">
        <f>용호2구역!I51</f>
        <v>1.1958153187100868</v>
      </c>
      <c r="J34" s="772"/>
    </row>
    <row r="35" spans="1:10" ht="27.5" customHeight="1">
      <c r="A35" s="771" t="s">
        <v>1277</v>
      </c>
      <c r="B35" s="761" t="s">
        <v>1267</v>
      </c>
      <c r="C35" s="761" t="s">
        <v>1328</v>
      </c>
      <c r="D35" s="767">
        <f>감천2구역!F46</f>
        <v>9350000</v>
      </c>
      <c r="E35" s="763">
        <f>감천2구역!C46</f>
        <v>8200000</v>
      </c>
      <c r="F35" s="764">
        <f>감천2구역!C57</f>
        <v>130000000</v>
      </c>
      <c r="G35" s="765">
        <f>감천2구역!H57</f>
        <v>12023529.411764706</v>
      </c>
      <c r="H35" s="766">
        <f t="shared" si="0"/>
        <v>2673529.4117647056</v>
      </c>
      <c r="I35" s="787">
        <f>감천2구역!I57</f>
        <v>1.2859389745202894</v>
      </c>
      <c r="J35" s="772" t="s">
        <v>1278</v>
      </c>
    </row>
    <row r="36" spans="1:10" ht="27.5" customHeight="1">
      <c r="A36" s="771" t="s">
        <v>1279</v>
      </c>
      <c r="B36" s="761" t="s">
        <v>1267</v>
      </c>
      <c r="C36" s="796" t="s">
        <v>1345</v>
      </c>
      <c r="D36" s="762">
        <f>영도5구역!F40</f>
        <v>18330000</v>
      </c>
      <c r="E36" s="763">
        <f>영도5구역!C40</f>
        <v>12831000</v>
      </c>
      <c r="F36" s="764">
        <f>영도5구역!C51</f>
        <v>170000000</v>
      </c>
      <c r="G36" s="765">
        <f>영도5구역!H51</f>
        <v>17831000</v>
      </c>
      <c r="H36" s="766">
        <f t="shared" ref="H36" si="3">G36-D36</f>
        <v>-499000</v>
      </c>
      <c r="I36" s="787">
        <f>영도5구역!I51</f>
        <v>0.97277686852154932</v>
      </c>
      <c r="J36" s="773"/>
    </row>
    <row r="37" spans="1:10" ht="27.5" customHeight="1" thickBot="1">
      <c r="A37" s="774" t="s">
        <v>1422</v>
      </c>
      <c r="B37" s="775" t="s">
        <v>1423</v>
      </c>
      <c r="C37" s="776" t="s">
        <v>1414</v>
      </c>
      <c r="D37" s="777">
        <f>부민2구역!F44</f>
        <v>19990000</v>
      </c>
      <c r="E37" s="778">
        <f>부민2구역!C44</f>
        <v>13993000</v>
      </c>
      <c r="F37" s="779">
        <f>부민2구역!C53</f>
        <v>170000000</v>
      </c>
      <c r="G37" s="780">
        <f>부민2구역!H53</f>
        <v>18993000</v>
      </c>
      <c r="H37" s="781">
        <f t="shared" si="0"/>
        <v>-997000</v>
      </c>
      <c r="I37" s="789">
        <f>부민2구역!I52</f>
        <v>0.95012506253126561</v>
      </c>
      <c r="J37" s="782" t="s">
        <v>1424</v>
      </c>
    </row>
  </sheetData>
  <phoneticPr fontId="16" type="noConversion"/>
  <conditionalFormatting sqref="I37:I1048576 I1:I18 I20:I28 I30:I35">
    <cfRule type="colorScale" priority="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I19">
    <cfRule type="colorScale" priority="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I36">
    <cfRule type="colorScale" priority="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I1:I28 I30:I1048576">
    <cfRule type="colorScale" priority="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I29">
    <cfRule type="colorScale" priority="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I29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I1:I1048576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tabColor rgb="FF0000CC"/>
  </sheetPr>
  <dimension ref="A1:I80"/>
  <sheetViews>
    <sheetView showGridLines="0" topLeftCell="A49" zoomScale="85" zoomScaleNormal="85" zoomScaleSheetLayoutView="110" workbookViewId="0">
      <selection activeCell="C56" sqref="C56"/>
    </sheetView>
  </sheetViews>
  <sheetFormatPr defaultColWidth="13.4140625" defaultRowHeight="16"/>
  <cols>
    <col min="1" max="1" width="6.4140625" style="76" customWidth="1"/>
    <col min="2" max="2" width="22.5" style="77" bestFit="1" customWidth="1"/>
    <col min="3" max="3" width="22.6640625" style="78" customWidth="1"/>
    <col min="4" max="4" width="18.25" style="79" bestFit="1" customWidth="1"/>
    <col min="5" max="5" width="13.9140625" style="76" bestFit="1" customWidth="1"/>
    <col min="6" max="6" width="15.75" style="76" bestFit="1" customWidth="1"/>
    <col min="7" max="7" width="14" style="76" bestFit="1" customWidth="1"/>
    <col min="8" max="8" width="13.4140625" style="76" bestFit="1" customWidth="1"/>
    <col min="9" max="9" width="26.33203125" style="76" bestFit="1" customWidth="1"/>
    <col min="10" max="11" width="13.4140625" style="76" bestFit="1" customWidth="1"/>
    <col min="12" max="16384" width="13.4140625" style="76"/>
  </cols>
  <sheetData>
    <row r="1" spans="1:8" ht="31.5" customHeight="1">
      <c r="A1" s="837" t="s">
        <v>196</v>
      </c>
      <c r="B1" s="837"/>
      <c r="C1" s="837"/>
      <c r="D1" s="837"/>
      <c r="E1" s="837"/>
      <c r="F1" s="837"/>
      <c r="G1" s="837"/>
      <c r="H1" s="837"/>
    </row>
    <row r="2" spans="1:8" ht="15.5" customHeight="1">
      <c r="A2" s="821" t="s">
        <v>112</v>
      </c>
      <c r="B2" s="6" t="s">
        <v>420</v>
      </c>
      <c r="C2" s="852" t="s">
        <v>274</v>
      </c>
      <c r="D2" s="852"/>
      <c r="E2" s="852"/>
      <c r="F2" s="852"/>
      <c r="G2" s="852"/>
      <c r="H2" s="852"/>
    </row>
    <row r="3" spans="1:8" ht="15" customHeight="1">
      <c r="A3" s="829"/>
      <c r="B3" s="11" t="s">
        <v>471</v>
      </c>
      <c r="C3" s="851" t="s">
        <v>401</v>
      </c>
      <c r="D3" s="851"/>
      <c r="E3" s="851"/>
      <c r="F3" s="851"/>
      <c r="G3" s="851"/>
      <c r="H3" s="851"/>
    </row>
    <row r="4" spans="1:8">
      <c r="A4" s="829"/>
      <c r="B4" s="11" t="s">
        <v>407</v>
      </c>
      <c r="C4" s="81" t="s">
        <v>391</v>
      </c>
      <c r="D4" s="82"/>
      <c r="E4" s="83"/>
      <c r="F4" s="83"/>
      <c r="G4" s="83"/>
      <c r="H4" s="84"/>
    </row>
    <row r="5" spans="1:8">
      <c r="A5" s="821"/>
      <c r="B5" s="11" t="s">
        <v>58</v>
      </c>
      <c r="C5" s="845" t="s">
        <v>263</v>
      </c>
      <c r="D5" s="846"/>
      <c r="E5" s="85"/>
      <c r="F5" s="85"/>
      <c r="G5" s="85"/>
      <c r="H5" s="86"/>
    </row>
    <row r="6" spans="1:8">
      <c r="A6" s="829"/>
      <c r="B6" s="11" t="s">
        <v>53</v>
      </c>
      <c r="C6" s="845">
        <v>307118</v>
      </c>
      <c r="D6" s="847"/>
      <c r="E6" s="85"/>
      <c r="F6" s="85"/>
      <c r="G6" s="85"/>
      <c r="H6" s="86"/>
    </row>
    <row r="7" spans="1:8">
      <c r="A7" s="838"/>
      <c r="B7" s="16" t="s">
        <v>99</v>
      </c>
      <c r="C7" s="87">
        <v>418719</v>
      </c>
      <c r="D7" s="840" t="s">
        <v>231</v>
      </c>
      <c r="E7" s="841"/>
      <c r="F7" s="359">
        <f>C7*0.3025/C9</f>
        <v>44.442981578947368</v>
      </c>
      <c r="G7" s="842" t="s">
        <v>524</v>
      </c>
      <c r="H7" s="843"/>
    </row>
    <row r="8" spans="1:8">
      <c r="A8" s="838"/>
      <c r="B8" s="16" t="s">
        <v>425</v>
      </c>
      <c r="C8" s="87">
        <v>66</v>
      </c>
      <c r="D8" s="88"/>
      <c r="E8" s="83"/>
      <c r="F8" s="83"/>
      <c r="G8" s="83"/>
      <c r="H8" s="84"/>
    </row>
    <row r="9" spans="1:8">
      <c r="A9" s="838"/>
      <c r="B9" s="16" t="s">
        <v>335</v>
      </c>
      <c r="C9" s="87">
        <v>2850</v>
      </c>
      <c r="D9" s="89" t="s">
        <v>39</v>
      </c>
      <c r="E9" s="90">
        <f>C9/C11</f>
        <v>0.31346238451385833</v>
      </c>
      <c r="F9" s="88"/>
      <c r="G9" s="83"/>
      <c r="H9" s="84"/>
    </row>
    <row r="10" spans="1:8" ht="32">
      <c r="A10" s="838"/>
      <c r="B10" s="176" t="s">
        <v>243</v>
      </c>
      <c r="C10" s="360">
        <f>C11-C9</f>
        <v>6242</v>
      </c>
      <c r="D10" s="89" t="s">
        <v>145</v>
      </c>
      <c r="E10" s="361">
        <f>C10/C11</f>
        <v>0.68653761548614167</v>
      </c>
      <c r="F10" s="848" t="s">
        <v>29</v>
      </c>
      <c r="G10" s="849"/>
      <c r="H10" s="850"/>
    </row>
    <row r="11" spans="1:8">
      <c r="A11" s="838"/>
      <c r="B11" s="16" t="s">
        <v>150</v>
      </c>
      <c r="C11" s="87">
        <v>9092</v>
      </c>
      <c r="D11" s="91" t="s">
        <v>321</v>
      </c>
      <c r="E11" s="83"/>
      <c r="F11" s="83"/>
      <c r="G11" s="83"/>
      <c r="H11" s="84"/>
    </row>
    <row r="12" spans="1:8">
      <c r="A12" s="838"/>
      <c r="B12" s="16" t="s">
        <v>427</v>
      </c>
      <c r="C12" s="92">
        <v>0.1946</v>
      </c>
      <c r="D12" s="93" t="s">
        <v>84</v>
      </c>
      <c r="E12" s="94">
        <f>C7*C12</f>
        <v>81482.717399999994</v>
      </c>
      <c r="F12" s="95" t="s">
        <v>41</v>
      </c>
      <c r="G12" s="96">
        <f>E13/E12</f>
        <v>14.954779033915724</v>
      </c>
      <c r="H12" s="97"/>
    </row>
    <row r="13" spans="1:8">
      <c r="A13" s="838"/>
      <c r="B13" s="16" t="s">
        <v>466</v>
      </c>
      <c r="C13" s="92">
        <v>2.9101999999999997</v>
      </c>
      <c r="D13" s="93" t="s">
        <v>91</v>
      </c>
      <c r="E13" s="98">
        <f>C7*C13</f>
        <v>1218556.0337999999</v>
      </c>
      <c r="F13" s="95" t="s">
        <v>209</v>
      </c>
      <c r="G13" s="236">
        <f>E13*76%</f>
        <v>926102.58568799985</v>
      </c>
      <c r="H13" s="99"/>
    </row>
    <row r="14" spans="1:8">
      <c r="A14" s="838"/>
      <c r="B14" s="16" t="s">
        <v>208</v>
      </c>
      <c r="C14" s="100" t="s">
        <v>238</v>
      </c>
      <c r="D14" s="88"/>
      <c r="E14" s="83"/>
      <c r="F14" s="840" t="s">
        <v>234</v>
      </c>
      <c r="G14" s="841"/>
      <c r="H14" s="237">
        <f>G13/C37</f>
        <v>1.5052998005422378</v>
      </c>
    </row>
    <row r="15" spans="1:8" ht="15" customHeight="1">
      <c r="A15" s="838"/>
      <c r="B15" s="16" t="s">
        <v>441</v>
      </c>
      <c r="C15" s="101" t="s">
        <v>240</v>
      </c>
      <c r="D15" s="102"/>
      <c r="E15" s="103"/>
      <c r="F15" s="848" t="s">
        <v>392</v>
      </c>
      <c r="G15" s="849"/>
      <c r="H15" s="850"/>
    </row>
    <row r="16" spans="1:8">
      <c r="A16" s="838"/>
      <c r="B16" s="32" t="s">
        <v>87</v>
      </c>
      <c r="C16" s="100" t="s">
        <v>418</v>
      </c>
      <c r="D16" s="104"/>
      <c r="E16" s="83"/>
      <c r="F16" s="83"/>
      <c r="G16" s="83"/>
      <c r="H16" s="84"/>
    </row>
    <row r="17" spans="1:8" ht="15" customHeight="1">
      <c r="A17" s="821"/>
      <c r="B17" s="844" t="s">
        <v>470</v>
      </c>
      <c r="C17" s="105" t="s">
        <v>346</v>
      </c>
      <c r="D17" s="105" t="s">
        <v>385</v>
      </c>
      <c r="E17" s="106"/>
      <c r="F17" s="106"/>
      <c r="G17" s="106"/>
      <c r="H17" s="107"/>
    </row>
    <row r="18" spans="1:8">
      <c r="A18" s="839"/>
      <c r="B18" s="844"/>
      <c r="C18" s="108" t="s">
        <v>0</v>
      </c>
      <c r="D18" s="109"/>
      <c r="E18" s="110"/>
      <c r="F18" s="110"/>
      <c r="G18" s="110"/>
      <c r="H18" s="111"/>
    </row>
    <row r="19" spans="1:8" ht="5.25" customHeight="1">
      <c r="A19" s="112"/>
      <c r="B19" s="40"/>
      <c r="C19" s="113"/>
      <c r="D19" s="113"/>
      <c r="H19" s="114"/>
    </row>
    <row r="20" spans="1:8">
      <c r="A20" s="821" t="s">
        <v>49</v>
      </c>
      <c r="B20" s="43" t="s">
        <v>174</v>
      </c>
      <c r="C20" s="115" t="s">
        <v>340</v>
      </c>
      <c r="D20" s="116"/>
      <c r="E20" s="117"/>
      <c r="F20" s="117"/>
      <c r="G20" s="117"/>
      <c r="H20" s="118"/>
    </row>
    <row r="21" spans="1:8">
      <c r="A21" s="822"/>
      <c r="B21" s="25" t="s">
        <v>65</v>
      </c>
      <c r="C21" s="119" t="s">
        <v>362</v>
      </c>
      <c r="D21" s="120"/>
      <c r="E21" s="83"/>
      <c r="F21" s="83"/>
      <c r="G21" s="83"/>
      <c r="H21" s="84"/>
    </row>
    <row r="22" spans="1:8">
      <c r="A22" s="821"/>
      <c r="B22" s="25" t="s">
        <v>95</v>
      </c>
      <c r="C22" s="93" t="s">
        <v>381</v>
      </c>
      <c r="D22" s="120"/>
      <c r="E22" s="83"/>
      <c r="F22" s="83"/>
      <c r="G22" s="83"/>
      <c r="H22" s="84"/>
    </row>
    <row r="23" spans="1:8">
      <c r="A23" s="822"/>
      <c r="B23" s="25" t="s">
        <v>73</v>
      </c>
      <c r="C23" s="93" t="s">
        <v>1375</v>
      </c>
      <c r="D23" s="120"/>
      <c r="E23" s="83"/>
      <c r="F23" s="83"/>
      <c r="G23" s="83"/>
      <c r="H23" s="84"/>
    </row>
    <row r="24" spans="1:8">
      <c r="A24" s="822"/>
      <c r="B24" s="25" t="s">
        <v>177</v>
      </c>
      <c r="C24" s="93" t="s">
        <v>743</v>
      </c>
      <c r="D24" s="91"/>
      <c r="E24" s="83"/>
      <c r="F24" s="83"/>
      <c r="G24" s="83"/>
      <c r="H24" s="84"/>
    </row>
    <row r="25" spans="1:8">
      <c r="A25" s="822"/>
      <c r="B25" s="25" t="s">
        <v>167</v>
      </c>
      <c r="C25" s="93" t="s">
        <v>358</v>
      </c>
      <c r="D25" s="91"/>
      <c r="E25" s="83"/>
      <c r="F25" s="83"/>
      <c r="G25" s="83"/>
      <c r="H25" s="84"/>
    </row>
    <row r="26" spans="1:8">
      <c r="A26" s="822"/>
      <c r="B26" s="25" t="s">
        <v>447</v>
      </c>
      <c r="C26" s="93" t="s">
        <v>744</v>
      </c>
      <c r="D26" s="91"/>
      <c r="E26" s="83"/>
      <c r="F26" s="83"/>
      <c r="G26" s="83"/>
      <c r="H26" s="84"/>
    </row>
    <row r="27" spans="1:8">
      <c r="A27" s="822"/>
      <c r="B27" s="25" t="s">
        <v>1075</v>
      </c>
      <c r="C27" s="93"/>
      <c r="D27" s="91"/>
      <c r="E27" s="83"/>
      <c r="F27" s="83"/>
      <c r="G27" s="83"/>
      <c r="H27" s="84"/>
    </row>
    <row r="28" spans="1:8">
      <c r="A28" s="823"/>
      <c r="B28" s="25" t="s">
        <v>1076</v>
      </c>
      <c r="C28" s="122"/>
      <c r="D28" s="123"/>
      <c r="E28" s="110"/>
      <c r="F28" s="110"/>
      <c r="G28" s="110"/>
      <c r="H28" s="111"/>
    </row>
    <row r="29" spans="1:8" ht="5.25" customHeight="1">
      <c r="A29" s="112"/>
      <c r="B29" s="40"/>
      <c r="C29" s="3"/>
      <c r="H29" s="114"/>
    </row>
    <row r="30" spans="1:8" s="80" customFormat="1" ht="13.5" customHeight="1">
      <c r="A30" s="821" t="s">
        <v>160</v>
      </c>
      <c r="B30" s="345" t="s">
        <v>101</v>
      </c>
      <c r="C30" s="346" t="s">
        <v>48</v>
      </c>
      <c r="D30" s="347" t="s">
        <v>125</v>
      </c>
      <c r="E30" s="347" t="s">
        <v>434</v>
      </c>
      <c r="F30" s="347" t="s">
        <v>414</v>
      </c>
      <c r="G30" s="348" t="s">
        <v>454</v>
      </c>
      <c r="H30" s="349" t="s">
        <v>470</v>
      </c>
    </row>
    <row r="31" spans="1:8">
      <c r="A31" s="822"/>
      <c r="B31" s="129" t="s">
        <v>438</v>
      </c>
      <c r="C31" s="130">
        <f>39*D31</f>
        <v>17745</v>
      </c>
      <c r="D31" s="87">
        <v>455</v>
      </c>
      <c r="E31" s="87"/>
      <c r="F31" s="87"/>
      <c r="G31" s="131">
        <f t="shared" ref="G31:G36" si="0">D31/$D$37</f>
        <v>5.0043994720633526E-2</v>
      </c>
      <c r="H31" s="132" t="s">
        <v>449</v>
      </c>
    </row>
    <row r="32" spans="1:8">
      <c r="A32" s="829"/>
      <c r="B32" s="129" t="s">
        <v>438</v>
      </c>
      <c r="C32" s="130">
        <f>39*D32</f>
        <v>1482</v>
      </c>
      <c r="D32" s="87">
        <v>38</v>
      </c>
      <c r="E32" s="87"/>
      <c r="F32" s="87"/>
      <c r="G32" s="131">
        <f t="shared" si="0"/>
        <v>4.1794984601847777E-3</v>
      </c>
      <c r="H32" s="132"/>
    </row>
    <row r="33" spans="1:8">
      <c r="A33" s="821"/>
      <c r="B33" s="129" t="s">
        <v>416</v>
      </c>
      <c r="C33" s="130">
        <f>59*D33</f>
        <v>230749</v>
      </c>
      <c r="D33" s="87">
        <v>3911</v>
      </c>
      <c r="E33" s="87"/>
      <c r="F33" s="87"/>
      <c r="G33" s="131">
        <f t="shared" si="0"/>
        <v>0.43015838099428066</v>
      </c>
      <c r="H33" s="132"/>
    </row>
    <row r="34" spans="1:8">
      <c r="A34" s="822"/>
      <c r="B34" s="16" t="s">
        <v>423</v>
      </c>
      <c r="C34" s="130">
        <f>75*D34</f>
        <v>261600</v>
      </c>
      <c r="D34" s="87">
        <v>3488</v>
      </c>
      <c r="E34" s="87"/>
      <c r="F34" s="87"/>
      <c r="G34" s="131">
        <f t="shared" si="0"/>
        <v>0.38363396392432908</v>
      </c>
      <c r="H34" s="132"/>
    </row>
    <row r="35" spans="1:8">
      <c r="A35" s="822"/>
      <c r="B35" s="129" t="s">
        <v>450</v>
      </c>
      <c r="C35" s="130">
        <f>84*D35</f>
        <v>90384</v>
      </c>
      <c r="D35" s="87">
        <v>1076</v>
      </c>
      <c r="E35" s="87"/>
      <c r="F35" s="87"/>
      <c r="G35" s="131">
        <f t="shared" si="0"/>
        <v>0.11834579850417949</v>
      </c>
      <c r="H35" s="132"/>
    </row>
    <row r="36" spans="1:8">
      <c r="A36" s="821"/>
      <c r="B36" s="129" t="s">
        <v>428</v>
      </c>
      <c r="C36" s="130">
        <f>107*D36</f>
        <v>13268</v>
      </c>
      <c r="D36" s="87">
        <v>124</v>
      </c>
      <c r="E36" s="87"/>
      <c r="F36" s="87"/>
      <c r="G36" s="131">
        <f t="shared" si="0"/>
        <v>1.3638363396392433E-2</v>
      </c>
      <c r="H36" s="132"/>
    </row>
    <row r="37" spans="1:8">
      <c r="A37" s="823"/>
      <c r="B37" s="129" t="s">
        <v>462</v>
      </c>
      <c r="C37" s="57">
        <f t="shared" ref="C37:H37" si="1">SUM(C31:C36)</f>
        <v>615228</v>
      </c>
      <c r="D37" s="57">
        <f t="shared" si="1"/>
        <v>9092</v>
      </c>
      <c r="E37" s="57">
        <f t="shared" si="1"/>
        <v>0</v>
      </c>
      <c r="F37" s="57">
        <f t="shared" si="1"/>
        <v>0</v>
      </c>
      <c r="G37" s="135">
        <f t="shared" si="1"/>
        <v>1</v>
      </c>
      <c r="H37" s="57">
        <f t="shared" si="1"/>
        <v>0</v>
      </c>
    </row>
    <row r="38" spans="1:8" ht="6" customHeight="1">
      <c r="A38" s="112"/>
      <c r="B38" s="40"/>
      <c r="C38" s="3"/>
      <c r="H38" s="114"/>
    </row>
    <row r="39" spans="1:8" s="77" customFormat="1">
      <c r="A39" s="830" t="s">
        <v>33</v>
      </c>
      <c r="B39" s="345" t="s">
        <v>451</v>
      </c>
      <c r="C39" s="347" t="s">
        <v>904</v>
      </c>
      <c r="D39" s="347" t="s">
        <v>905</v>
      </c>
      <c r="E39" s="347" t="s">
        <v>43</v>
      </c>
      <c r="F39" s="347" t="s">
        <v>906</v>
      </c>
      <c r="G39" s="350" t="s">
        <v>172</v>
      </c>
      <c r="H39" s="351" t="s">
        <v>470</v>
      </c>
    </row>
    <row r="40" spans="1:8" ht="16.5" customHeight="1">
      <c r="A40" s="831"/>
      <c r="B40" s="129" t="s">
        <v>438</v>
      </c>
      <c r="C40" s="138">
        <v>8900000</v>
      </c>
      <c r="D40" s="139" t="s">
        <v>436</v>
      </c>
      <c r="E40" s="362" t="e">
        <f>(D40-C40)*17</f>
        <v>#VALUE!</v>
      </c>
      <c r="F40" s="139" t="s">
        <v>436</v>
      </c>
      <c r="G40" s="362" t="e">
        <f>(F40-C40)*17</f>
        <v>#VALUE!</v>
      </c>
      <c r="H40" s="140"/>
    </row>
    <row r="41" spans="1:8" ht="16.5" customHeight="1">
      <c r="A41" s="832"/>
      <c r="B41" s="129" t="s">
        <v>438</v>
      </c>
      <c r="C41" s="138">
        <v>8900000</v>
      </c>
      <c r="D41" s="139" t="s">
        <v>436</v>
      </c>
      <c r="E41" s="362" t="e">
        <f>(D41-C41)*17</f>
        <v>#VALUE!</v>
      </c>
      <c r="F41" s="139" t="s">
        <v>436</v>
      </c>
      <c r="G41" s="362" t="e">
        <f>(F41-C41)*17</f>
        <v>#VALUE!</v>
      </c>
      <c r="H41" s="140"/>
    </row>
    <row r="42" spans="1:8" ht="16.5" customHeight="1">
      <c r="A42" s="830"/>
      <c r="B42" s="129" t="s">
        <v>416</v>
      </c>
      <c r="C42" s="138">
        <v>9100000</v>
      </c>
      <c r="D42" s="139" t="s">
        <v>1165</v>
      </c>
      <c r="E42" s="362" t="e">
        <f>(D42-C42)*25</f>
        <v>#VALUE!</v>
      </c>
      <c r="F42" s="139" t="s">
        <v>1165</v>
      </c>
      <c r="G42" s="362" t="e">
        <f>(F42-C42)*25</f>
        <v>#VALUE!</v>
      </c>
      <c r="H42" s="140"/>
    </row>
    <row r="43" spans="1:8" ht="16.5" customHeight="1">
      <c r="A43" s="831"/>
      <c r="B43" s="16" t="s">
        <v>423</v>
      </c>
      <c r="C43" s="138">
        <v>9800000</v>
      </c>
      <c r="D43" s="139" t="s">
        <v>1165</v>
      </c>
      <c r="E43" s="362" t="e">
        <f>(D43-C43)*30</f>
        <v>#VALUE!</v>
      </c>
      <c r="F43" s="139" t="s">
        <v>1165</v>
      </c>
      <c r="G43" s="362" t="e">
        <f>(F43-C43)*30</f>
        <v>#VALUE!</v>
      </c>
      <c r="H43" s="140"/>
    </row>
    <row r="44" spans="1:8" ht="16.5" customHeight="1">
      <c r="A44" s="831"/>
      <c r="B44" s="129" t="s">
        <v>450</v>
      </c>
      <c r="C44" s="726">
        <v>8940000</v>
      </c>
      <c r="D44" s="372">
        <v>12000000</v>
      </c>
      <c r="E44" s="362">
        <f>(D44-C44)*34</f>
        <v>104040000</v>
      </c>
      <c r="F44" s="727">
        <v>21760000</v>
      </c>
      <c r="G44" s="362">
        <f>(F44-C44)*34</f>
        <v>435880000</v>
      </c>
      <c r="H44" s="140" t="s">
        <v>120</v>
      </c>
    </row>
    <row r="45" spans="1:8" ht="16.5" customHeight="1">
      <c r="A45" s="831"/>
      <c r="B45" s="129" t="s">
        <v>428</v>
      </c>
      <c r="C45" s="138">
        <v>8830000</v>
      </c>
      <c r="D45" s="139" t="s">
        <v>436</v>
      </c>
      <c r="E45" s="362" t="e">
        <f>(D45-C45)*45</f>
        <v>#VALUE!</v>
      </c>
      <c r="F45" s="139" t="s">
        <v>436</v>
      </c>
      <c r="G45" s="362" t="e">
        <f>(F45-C45)*45</f>
        <v>#VALUE!</v>
      </c>
      <c r="H45" s="140"/>
    </row>
    <row r="46" spans="1:8" ht="16.5" customHeight="1">
      <c r="A46" s="830"/>
      <c r="B46" s="129"/>
      <c r="C46" s="141"/>
      <c r="D46" s="139"/>
      <c r="E46" s="362"/>
      <c r="F46" s="139"/>
      <c r="G46" s="362"/>
      <c r="H46" s="140"/>
    </row>
    <row r="47" spans="1:8" ht="16.5" customHeight="1">
      <c r="A47" s="831"/>
      <c r="B47" s="129"/>
      <c r="C47" s="141"/>
      <c r="D47" s="139"/>
      <c r="E47" s="362"/>
      <c r="F47" s="139"/>
      <c r="G47" s="362"/>
      <c r="H47" s="140"/>
    </row>
    <row r="48" spans="1:8" ht="16.5" customHeight="1">
      <c r="A48" s="831"/>
      <c r="B48" s="129"/>
      <c r="C48" s="141"/>
      <c r="D48" s="139"/>
      <c r="E48" s="362"/>
      <c r="F48" s="139"/>
      <c r="G48" s="362"/>
      <c r="H48" s="140"/>
    </row>
    <row r="49" spans="1:9" ht="5.25" customHeight="1" thickBot="1">
      <c r="A49" s="142"/>
      <c r="B49" s="143"/>
      <c r="C49" s="144"/>
      <c r="D49" s="144"/>
      <c r="E49" s="145"/>
      <c r="F49" s="144"/>
      <c r="G49" s="145"/>
      <c r="H49" s="146"/>
    </row>
    <row r="50" spans="1:9" ht="60.15" customHeight="1">
      <c r="A50" s="818" t="s">
        <v>286</v>
      </c>
      <c r="B50" s="347" t="s">
        <v>101</v>
      </c>
      <c r="C50" s="508" t="s">
        <v>1395</v>
      </c>
      <c r="D50" s="352" t="s">
        <v>247</v>
      </c>
      <c r="E50" s="353" t="s">
        <v>322</v>
      </c>
      <c r="F50" s="352" t="s">
        <v>222</v>
      </c>
      <c r="G50" s="353" t="s">
        <v>367</v>
      </c>
      <c r="H50" s="347" t="s">
        <v>1136</v>
      </c>
      <c r="I50" s="824" t="s">
        <v>1206</v>
      </c>
    </row>
    <row r="51" spans="1:9">
      <c r="A51" s="819"/>
      <c r="B51" s="213" t="s">
        <v>438</v>
      </c>
      <c r="C51" s="138" t="s">
        <v>436</v>
      </c>
      <c r="D51" s="139" t="e">
        <f t="shared" ref="D51:D56" si="2">E40</f>
        <v>#VALUE!</v>
      </c>
      <c r="E51" s="362" t="e">
        <f t="shared" ref="E51:E56" si="3">D51-C51</f>
        <v>#VALUE!</v>
      </c>
      <c r="F51" s="139" t="e">
        <f t="shared" ref="F51:F56" si="4">G40</f>
        <v>#VALUE!</v>
      </c>
      <c r="G51" s="362" t="e">
        <f t="shared" ref="G51:G56" si="5">F51-C51</f>
        <v>#VALUE!</v>
      </c>
      <c r="H51" s="739"/>
      <c r="I51" s="825"/>
    </row>
    <row r="52" spans="1:9">
      <c r="A52" s="819"/>
      <c r="B52" s="213" t="s">
        <v>438</v>
      </c>
      <c r="C52" s="138" t="s">
        <v>436</v>
      </c>
      <c r="D52" s="139" t="e">
        <f t="shared" si="2"/>
        <v>#VALUE!</v>
      </c>
      <c r="E52" s="362" t="e">
        <f t="shared" si="3"/>
        <v>#VALUE!</v>
      </c>
      <c r="F52" s="139" t="e">
        <f t="shared" si="4"/>
        <v>#VALUE!</v>
      </c>
      <c r="G52" s="362" t="e">
        <f t="shared" si="5"/>
        <v>#VALUE!</v>
      </c>
      <c r="H52" s="739"/>
      <c r="I52" s="825"/>
    </row>
    <row r="53" spans="1:9">
      <c r="A53" s="819"/>
      <c r="B53" s="213" t="s">
        <v>416</v>
      </c>
      <c r="C53" s="138" t="s">
        <v>1376</v>
      </c>
      <c r="D53" s="139" t="e">
        <f t="shared" si="2"/>
        <v>#VALUE!</v>
      </c>
      <c r="E53" s="362" t="e">
        <f t="shared" si="3"/>
        <v>#VALUE!</v>
      </c>
      <c r="F53" s="139" t="e">
        <f t="shared" si="4"/>
        <v>#VALUE!</v>
      </c>
      <c r="G53" s="362" t="e">
        <f t="shared" si="5"/>
        <v>#VALUE!</v>
      </c>
      <c r="H53" s="739"/>
      <c r="I53" s="825"/>
    </row>
    <row r="54" spans="1:9">
      <c r="A54" s="819"/>
      <c r="B54" s="25" t="s">
        <v>423</v>
      </c>
      <c r="C54" s="138" t="s">
        <v>1376</v>
      </c>
      <c r="D54" s="139" t="e">
        <f t="shared" si="2"/>
        <v>#VALUE!</v>
      </c>
      <c r="E54" s="362" t="e">
        <f t="shared" si="3"/>
        <v>#VALUE!</v>
      </c>
      <c r="F54" s="139" t="e">
        <f t="shared" si="4"/>
        <v>#VALUE!</v>
      </c>
      <c r="G54" s="362" t="e">
        <f t="shared" si="5"/>
        <v>#VALUE!</v>
      </c>
      <c r="H54" s="739"/>
      <c r="I54" s="825"/>
    </row>
    <row r="55" spans="1:9" ht="17">
      <c r="A55" s="819"/>
      <c r="B55" s="213" t="s">
        <v>450</v>
      </c>
      <c r="C55" s="138">
        <v>190000000</v>
      </c>
      <c r="D55" s="139">
        <f t="shared" si="2"/>
        <v>104040000</v>
      </c>
      <c r="E55" s="362">
        <f t="shared" si="3"/>
        <v>-85960000</v>
      </c>
      <c r="F55" s="139">
        <f t="shared" si="4"/>
        <v>435880000</v>
      </c>
      <c r="G55" s="362">
        <f t="shared" si="5"/>
        <v>245880000</v>
      </c>
      <c r="H55" s="62">
        <f>(C55+(C44*34))/34</f>
        <v>14528235.294117646</v>
      </c>
      <c r="I55" s="751">
        <f>H55/F44</f>
        <v>0.6676578719723183</v>
      </c>
    </row>
    <row r="56" spans="1:9" ht="16.5" thickBot="1">
      <c r="A56" s="820"/>
      <c r="B56" s="175" t="s">
        <v>428</v>
      </c>
      <c r="C56" s="204" t="s">
        <v>436</v>
      </c>
      <c r="D56" s="179" t="e">
        <f t="shared" si="2"/>
        <v>#VALUE!</v>
      </c>
      <c r="E56" s="363" t="e">
        <f t="shared" si="3"/>
        <v>#VALUE!</v>
      </c>
      <c r="F56" s="179" t="e">
        <f t="shared" si="4"/>
        <v>#VALUE!</v>
      </c>
      <c r="G56" s="363" t="e">
        <f t="shared" si="5"/>
        <v>#VALUE!</v>
      </c>
      <c r="H56" s="740"/>
      <c r="I56" s="180"/>
    </row>
    <row r="57" spans="1:9" ht="5.4" customHeight="1" thickBot="1"/>
    <row r="58" spans="1:9">
      <c r="A58" s="833" t="s">
        <v>852</v>
      </c>
      <c r="B58" s="243" t="s">
        <v>599</v>
      </c>
      <c r="C58" s="242" t="s">
        <v>857</v>
      </c>
      <c r="D58" s="815" t="s">
        <v>600</v>
      </c>
      <c r="E58" s="816"/>
      <c r="F58" s="816"/>
      <c r="G58" s="816"/>
      <c r="H58" s="817"/>
    </row>
    <row r="59" spans="1:9" ht="17">
      <c r="A59" s="834"/>
      <c r="B59" s="165" t="s">
        <v>596</v>
      </c>
      <c r="C59" s="625">
        <v>980</v>
      </c>
      <c r="D59" s="492"/>
      <c r="E59" s="1"/>
      <c r="F59" s="1"/>
      <c r="G59" s="1"/>
      <c r="H59" s="42"/>
    </row>
    <row r="60" spans="1:9" ht="17">
      <c r="A60" s="834"/>
      <c r="B60" s="165" t="s">
        <v>597</v>
      </c>
      <c r="C60" s="625">
        <v>980</v>
      </c>
      <c r="D60" s="492"/>
      <c r="E60" s="1"/>
      <c r="F60" s="1"/>
      <c r="G60" s="1"/>
      <c r="H60" s="42"/>
    </row>
    <row r="61" spans="1:9">
      <c r="A61" s="835"/>
      <c r="B61" s="165" t="s">
        <v>601</v>
      </c>
      <c r="C61" s="626">
        <v>1000</v>
      </c>
      <c r="D61" s="492"/>
      <c r="E61" s="1"/>
      <c r="F61" s="1"/>
      <c r="G61" s="1"/>
      <c r="H61" s="42"/>
    </row>
    <row r="62" spans="1:9">
      <c r="A62" s="835"/>
      <c r="B62" s="165" t="s">
        <v>602</v>
      </c>
      <c r="C62" s="626">
        <v>1300</v>
      </c>
      <c r="D62" s="492"/>
      <c r="E62" s="1"/>
      <c r="F62" s="1"/>
      <c r="G62" s="1"/>
      <c r="H62" s="42"/>
    </row>
    <row r="63" spans="1:9">
      <c r="A63" s="835"/>
      <c r="B63" s="165" t="s">
        <v>603</v>
      </c>
      <c r="C63" s="626">
        <v>1100</v>
      </c>
      <c r="D63" s="492"/>
      <c r="E63" s="1"/>
      <c r="F63" s="1"/>
      <c r="G63" s="1"/>
      <c r="H63" s="42"/>
    </row>
    <row r="64" spans="1:9">
      <c r="A64" s="835"/>
      <c r="B64" s="165" t="s">
        <v>604</v>
      </c>
      <c r="C64" s="627">
        <v>1320</v>
      </c>
      <c r="D64" s="492"/>
      <c r="E64" s="1"/>
      <c r="F64" s="1"/>
      <c r="G64" s="1"/>
      <c r="H64" s="42"/>
    </row>
    <row r="65" spans="1:8">
      <c r="A65" s="835"/>
      <c r="B65" s="165" t="s">
        <v>605</v>
      </c>
      <c r="C65" s="627">
        <f>H55/10000</f>
        <v>1452.8235294117646</v>
      </c>
      <c r="D65" s="492"/>
      <c r="E65" s="1"/>
      <c r="F65" s="1"/>
      <c r="G65" s="1"/>
      <c r="H65" s="42"/>
    </row>
    <row r="66" spans="1:8">
      <c r="A66" s="835"/>
      <c r="B66" s="165" t="s">
        <v>606</v>
      </c>
      <c r="C66" s="627"/>
      <c r="D66" s="492"/>
      <c r="E66" s="1"/>
      <c r="F66" s="1"/>
      <c r="G66" s="1"/>
      <c r="H66" s="42"/>
    </row>
    <row r="67" spans="1:8">
      <c r="A67" s="835"/>
      <c r="B67" s="165" t="s">
        <v>607</v>
      </c>
      <c r="C67" s="627"/>
      <c r="D67" s="492"/>
      <c r="E67" s="1"/>
      <c r="F67" s="1"/>
      <c r="G67" s="1"/>
      <c r="H67" s="42"/>
    </row>
    <row r="68" spans="1:8">
      <c r="A68" s="835"/>
      <c r="B68" s="165" t="s">
        <v>608</v>
      </c>
      <c r="C68" s="627"/>
      <c r="D68" s="492"/>
      <c r="E68" s="1"/>
      <c r="F68" s="1"/>
      <c r="G68" s="1"/>
      <c r="H68" s="42"/>
    </row>
    <row r="69" spans="1:8" ht="17.5" thickBot="1">
      <c r="A69" s="836"/>
      <c r="B69" s="490" t="s">
        <v>853</v>
      </c>
      <c r="C69" s="628"/>
      <c r="D69" s="493"/>
      <c r="E69" s="486"/>
      <c r="F69" s="486"/>
      <c r="G69" s="486"/>
      <c r="H69" s="487"/>
    </row>
    <row r="70" spans="1:8">
      <c r="A70" s="826" t="s">
        <v>650</v>
      </c>
      <c r="B70" s="564" t="s">
        <v>1074</v>
      </c>
      <c r="C70" s="565"/>
      <c r="D70" s="566"/>
      <c r="E70" s="559"/>
      <c r="F70" s="559"/>
      <c r="G70" s="559"/>
      <c r="H70" s="567"/>
    </row>
    <row r="71" spans="1:8" ht="15" customHeight="1">
      <c r="A71" s="827"/>
      <c r="B71" s="206" t="s">
        <v>1077</v>
      </c>
      <c r="H71" s="114"/>
    </row>
    <row r="72" spans="1:8" ht="15" customHeight="1">
      <c r="A72" s="827"/>
      <c r="B72" s="206" t="s">
        <v>854</v>
      </c>
      <c r="H72" s="114"/>
    </row>
    <row r="73" spans="1:8" ht="15" customHeight="1">
      <c r="A73" s="827"/>
      <c r="B73" s="206" t="s">
        <v>653</v>
      </c>
      <c r="H73" s="114"/>
    </row>
    <row r="74" spans="1:8" ht="15" customHeight="1">
      <c r="A74" s="827"/>
      <c r="B74" s="206" t="s">
        <v>654</v>
      </c>
      <c r="H74" s="114"/>
    </row>
    <row r="75" spans="1:8">
      <c r="A75" s="827"/>
      <c r="B75" s="206" t="s">
        <v>1073</v>
      </c>
      <c r="H75" s="114"/>
    </row>
    <row r="76" spans="1:8">
      <c r="A76" s="827"/>
      <c r="B76" s="206" t="s">
        <v>655</v>
      </c>
      <c r="H76" s="114"/>
    </row>
    <row r="77" spans="1:8">
      <c r="A77" s="827"/>
      <c r="B77" s="206" t="s">
        <v>762</v>
      </c>
      <c r="H77" s="114"/>
    </row>
    <row r="78" spans="1:8">
      <c r="A78" s="827"/>
      <c r="B78" s="206" t="s">
        <v>763</v>
      </c>
      <c r="H78" s="114"/>
    </row>
    <row r="79" spans="1:8">
      <c r="A79" s="827"/>
      <c r="B79" s="608" t="s">
        <v>855</v>
      </c>
      <c r="H79" s="114"/>
    </row>
    <row r="80" spans="1:8" ht="16.5" thickBot="1">
      <c r="A80" s="828"/>
      <c r="B80" s="568" t="s">
        <v>856</v>
      </c>
      <c r="C80" s="569"/>
      <c r="D80" s="570"/>
      <c r="E80" s="571"/>
      <c r="F80" s="571"/>
      <c r="G80" s="571"/>
      <c r="H80" s="572"/>
    </row>
  </sheetData>
  <mergeCells count="20">
    <mergeCell ref="A1:H1"/>
    <mergeCell ref="A2:A18"/>
    <mergeCell ref="D7:E7"/>
    <mergeCell ref="G7:H7"/>
    <mergeCell ref="B17:B18"/>
    <mergeCell ref="C5:D5"/>
    <mergeCell ref="C6:D6"/>
    <mergeCell ref="F10:H10"/>
    <mergeCell ref="C3:H3"/>
    <mergeCell ref="C2:H2"/>
    <mergeCell ref="F14:G14"/>
    <mergeCell ref="F15:H15"/>
    <mergeCell ref="D58:H58"/>
    <mergeCell ref="A50:A56"/>
    <mergeCell ref="A20:A28"/>
    <mergeCell ref="I50:I54"/>
    <mergeCell ref="A70:A80"/>
    <mergeCell ref="A30:A37"/>
    <mergeCell ref="A39:A48"/>
    <mergeCell ref="A58:A69"/>
  </mergeCells>
  <phoneticPr fontId="16" type="noConversion"/>
  <pageMargins left="0.69972223043441772" right="0.69972223043441772" top="0.75" bottom="0.75" header="0.30000001192092896" footer="0.30000001192092896"/>
  <pageSetup paperSize="9" scale="53" orientation="portrait" horizontalDpi="4294967293" verticalDpi="4294967293" r:id="rId1"/>
  <rowBreaks count="1" manualBreakCount="1">
    <brk id="89" max="1048575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rgb="FF0000CC"/>
  </sheetPr>
  <dimension ref="A1:I94"/>
  <sheetViews>
    <sheetView showGridLines="0" topLeftCell="A55" zoomScale="85" zoomScaleNormal="85" zoomScaleSheetLayoutView="110" workbookViewId="0">
      <selection activeCell="C58" sqref="C58"/>
    </sheetView>
  </sheetViews>
  <sheetFormatPr defaultColWidth="13.4140625" defaultRowHeight="16"/>
  <cols>
    <col min="1" max="1" width="4.9140625" style="1" customWidth="1"/>
    <col min="2" max="2" width="18.6640625" style="2" bestFit="1" customWidth="1"/>
    <col min="3" max="3" width="23.08203125" style="3" customWidth="1"/>
    <col min="4" max="4" width="16.83203125" style="4" customWidth="1"/>
    <col min="5" max="5" width="16.6640625" style="1" bestFit="1" customWidth="1"/>
    <col min="6" max="6" width="15.5" style="1" bestFit="1" customWidth="1"/>
    <col min="7" max="7" width="14" style="1" bestFit="1" customWidth="1"/>
    <col min="8" max="8" width="15.08203125" style="1" bestFit="1" customWidth="1"/>
    <col min="9" max="9" width="26.33203125" style="1" bestFit="1" customWidth="1"/>
    <col min="10" max="16384" width="13.4140625" style="1"/>
  </cols>
  <sheetData>
    <row r="1" spans="1:8" ht="27.75" customHeight="1">
      <c r="A1" s="853" t="s">
        <v>173</v>
      </c>
      <c r="B1" s="854"/>
      <c r="C1" s="854"/>
      <c r="D1" s="854"/>
      <c r="E1" s="854"/>
      <c r="F1" s="854"/>
      <c r="G1" s="854"/>
      <c r="H1" s="855"/>
    </row>
    <row r="2" spans="1:8">
      <c r="A2" s="821" t="s">
        <v>112</v>
      </c>
      <c r="B2" s="6" t="s">
        <v>420</v>
      </c>
      <c r="C2" s="7" t="s">
        <v>42</v>
      </c>
      <c r="D2" s="150"/>
      <c r="E2" s="9"/>
      <c r="F2" s="9"/>
      <c r="G2" s="9"/>
      <c r="H2" s="10"/>
    </row>
    <row r="3" spans="1:8">
      <c r="A3" s="829"/>
      <c r="B3" s="11" t="s">
        <v>471</v>
      </c>
      <c r="C3" s="856" t="s">
        <v>25</v>
      </c>
      <c r="D3" s="857"/>
      <c r="E3" s="14"/>
      <c r="F3" s="14"/>
      <c r="G3" s="14"/>
      <c r="H3" s="15"/>
    </row>
    <row r="4" spans="1:8">
      <c r="A4" s="829"/>
      <c r="B4" s="11" t="s">
        <v>407</v>
      </c>
      <c r="C4" s="856" t="s">
        <v>219</v>
      </c>
      <c r="D4" s="857"/>
      <c r="E4" s="14"/>
      <c r="F4" s="14"/>
      <c r="G4" s="14"/>
      <c r="H4" s="15"/>
    </row>
    <row r="5" spans="1:8">
      <c r="A5" s="822"/>
      <c r="B5" s="16" t="s">
        <v>99</v>
      </c>
      <c r="C5" s="17">
        <v>148865</v>
      </c>
      <c r="D5" s="858" t="s">
        <v>250</v>
      </c>
      <c r="E5" s="859"/>
      <c r="F5" s="250">
        <f>C5*0.3025/C7</f>
        <v>57.365175159235669</v>
      </c>
      <c r="G5" s="860" t="s">
        <v>524</v>
      </c>
      <c r="H5" s="861"/>
    </row>
    <row r="6" spans="1:8">
      <c r="A6" s="822"/>
      <c r="B6" s="16" t="s">
        <v>425</v>
      </c>
      <c r="C6" s="17">
        <v>29</v>
      </c>
      <c r="D6" s="18"/>
      <c r="E6" s="19"/>
      <c r="F6" s="19"/>
      <c r="G6" s="19"/>
      <c r="H6" s="20"/>
    </row>
    <row r="7" spans="1:8">
      <c r="A7" s="822"/>
      <c r="B7" s="16" t="s">
        <v>121</v>
      </c>
      <c r="C7" s="17">
        <v>785</v>
      </c>
      <c r="D7" s="21" t="s">
        <v>39</v>
      </c>
      <c r="E7" s="22">
        <f>C7/C9</f>
        <v>0.26010603048376407</v>
      </c>
      <c r="F7" s="18"/>
      <c r="G7" s="19"/>
      <c r="H7" s="20"/>
    </row>
    <row r="8" spans="1:8" ht="32">
      <c r="A8" s="822"/>
      <c r="B8" s="176" t="s">
        <v>243</v>
      </c>
      <c r="C8" s="249">
        <f>C9-C7</f>
        <v>2233</v>
      </c>
      <c r="D8" s="21" t="s">
        <v>145</v>
      </c>
      <c r="E8" s="251">
        <f>C8/C9</f>
        <v>0.73989396951623587</v>
      </c>
      <c r="F8" s="863" t="s">
        <v>29</v>
      </c>
      <c r="G8" s="864"/>
      <c r="H8" s="865"/>
    </row>
    <row r="9" spans="1:8">
      <c r="A9" s="822"/>
      <c r="B9" s="16" t="s">
        <v>125</v>
      </c>
      <c r="C9" s="17">
        <v>3018</v>
      </c>
      <c r="D9" s="23"/>
      <c r="E9" s="19"/>
      <c r="F9" s="19"/>
      <c r="G9" s="19"/>
      <c r="H9" s="20"/>
    </row>
    <row r="10" spans="1:8">
      <c r="A10" s="822"/>
      <c r="B10" s="16" t="s">
        <v>427</v>
      </c>
      <c r="C10" s="24">
        <v>0.18940000000000001</v>
      </c>
      <c r="D10" s="25" t="s">
        <v>84</v>
      </c>
      <c r="E10" s="26">
        <f>C5*C10</f>
        <v>28195.031000000003</v>
      </c>
      <c r="F10" s="27" t="s">
        <v>41</v>
      </c>
      <c r="G10" s="28">
        <f>E11/E10</f>
        <v>14.340549102428721</v>
      </c>
      <c r="H10" s="29"/>
    </row>
    <row r="11" spans="1:8">
      <c r="A11" s="822"/>
      <c r="B11" s="16" t="s">
        <v>466</v>
      </c>
      <c r="C11" s="24">
        <v>2.7161</v>
      </c>
      <c r="D11" s="25" t="s">
        <v>91</v>
      </c>
      <c r="E11" s="30">
        <f>C5*C11</f>
        <v>404332.22649999999</v>
      </c>
      <c r="F11" s="27" t="s">
        <v>209</v>
      </c>
      <c r="G11" s="28">
        <f>E11*76%</f>
        <v>307292.49213999999</v>
      </c>
      <c r="H11" s="31"/>
    </row>
    <row r="12" spans="1:8">
      <c r="A12" s="822"/>
      <c r="B12" s="16" t="s">
        <v>208</v>
      </c>
      <c r="C12" s="152" t="s">
        <v>267</v>
      </c>
      <c r="D12" s="18"/>
      <c r="E12" s="19"/>
      <c r="F12" s="858" t="s">
        <v>234</v>
      </c>
      <c r="G12" s="859"/>
      <c r="H12" s="55">
        <f>G11/C38</f>
        <v>1.3825251930768572</v>
      </c>
    </row>
    <row r="13" spans="1:8" ht="15" customHeight="1">
      <c r="A13" s="822"/>
      <c r="B13" s="16" t="s">
        <v>441</v>
      </c>
      <c r="C13" s="862" t="s">
        <v>191</v>
      </c>
      <c r="D13" s="862"/>
      <c r="E13" s="19"/>
      <c r="F13" s="863" t="s">
        <v>392</v>
      </c>
      <c r="G13" s="864"/>
      <c r="H13" s="865"/>
    </row>
    <row r="14" spans="1:8">
      <c r="A14" s="822"/>
      <c r="B14" s="32" t="s">
        <v>467</v>
      </c>
      <c r="C14" s="166">
        <v>1.02</v>
      </c>
      <c r="D14" s="153"/>
      <c r="E14" s="19"/>
      <c r="F14" s="19"/>
      <c r="G14" s="19"/>
      <c r="H14" s="20"/>
    </row>
    <row r="15" spans="1:8" ht="15" customHeight="1">
      <c r="A15" s="821"/>
      <c r="B15" s="844" t="s">
        <v>470</v>
      </c>
      <c r="C15" s="153" t="s">
        <v>346</v>
      </c>
      <c r="D15" s="153" t="s">
        <v>96</v>
      </c>
      <c r="E15" s="155"/>
      <c r="F15" s="155"/>
      <c r="G15" s="155"/>
      <c r="H15" s="156"/>
    </row>
    <row r="16" spans="1:8">
      <c r="A16" s="823"/>
      <c r="B16" s="844"/>
      <c r="C16" s="157" t="s">
        <v>1377</v>
      </c>
      <c r="D16" s="36"/>
      <c r="E16" s="37"/>
      <c r="F16" s="37"/>
      <c r="G16" s="37"/>
      <c r="H16" s="38"/>
    </row>
    <row r="17" spans="1:8" ht="5.25" customHeight="1">
      <c r="A17" s="39"/>
      <c r="B17" s="40"/>
      <c r="C17" s="41"/>
      <c r="D17" s="41"/>
      <c r="H17" s="42"/>
    </row>
    <row r="18" spans="1:8">
      <c r="A18" s="821" t="s">
        <v>49</v>
      </c>
      <c r="B18" s="43" t="s">
        <v>81</v>
      </c>
      <c r="C18" s="44" t="s">
        <v>379</v>
      </c>
      <c r="D18" s="45"/>
      <c r="E18" s="9"/>
      <c r="F18" s="9"/>
      <c r="G18" s="9"/>
      <c r="H18" s="10"/>
    </row>
    <row r="19" spans="1:8">
      <c r="A19" s="822"/>
      <c r="B19" s="25" t="s">
        <v>147</v>
      </c>
      <c r="C19" s="46" t="s">
        <v>345</v>
      </c>
      <c r="D19" s="47"/>
      <c r="E19" s="19"/>
      <c r="F19" s="19"/>
      <c r="G19" s="19"/>
      <c r="H19" s="20"/>
    </row>
    <row r="20" spans="1:8">
      <c r="A20" s="821"/>
      <c r="B20" s="25" t="s">
        <v>98</v>
      </c>
      <c r="C20" s="46" t="s">
        <v>356</v>
      </c>
      <c r="D20" s="47"/>
      <c r="E20" s="19"/>
      <c r="F20" s="19"/>
      <c r="G20" s="19"/>
      <c r="H20" s="20"/>
    </row>
    <row r="21" spans="1:8">
      <c r="A21" s="822"/>
      <c r="B21" s="25" t="s">
        <v>119</v>
      </c>
      <c r="C21" s="46" t="s">
        <v>320</v>
      </c>
      <c r="D21" s="47"/>
      <c r="E21" s="19"/>
      <c r="F21" s="19"/>
      <c r="G21" s="19"/>
      <c r="H21" s="20"/>
    </row>
    <row r="22" spans="1:8">
      <c r="A22" s="822"/>
      <c r="B22" s="25" t="s">
        <v>73</v>
      </c>
      <c r="C22" s="25" t="s">
        <v>292</v>
      </c>
      <c r="D22" s="23"/>
      <c r="E22" s="19"/>
      <c r="F22" s="19"/>
      <c r="G22" s="19"/>
      <c r="H22" s="20"/>
    </row>
    <row r="23" spans="1:8">
      <c r="A23" s="822"/>
      <c r="B23" s="25" t="s">
        <v>452</v>
      </c>
      <c r="C23" s="25" t="s">
        <v>328</v>
      </c>
      <c r="D23" s="23"/>
      <c r="E23" s="19"/>
      <c r="F23" s="19"/>
      <c r="G23" s="19"/>
      <c r="H23" s="20"/>
    </row>
    <row r="24" spans="1:8">
      <c r="A24" s="822"/>
      <c r="B24" s="25" t="s">
        <v>445</v>
      </c>
      <c r="C24" s="25" t="s">
        <v>504</v>
      </c>
      <c r="D24" s="23"/>
      <c r="E24" s="19"/>
      <c r="F24" s="19"/>
      <c r="G24" s="19"/>
      <c r="H24" s="20"/>
    </row>
    <row r="25" spans="1:8">
      <c r="A25" s="822"/>
      <c r="B25" s="25" t="s">
        <v>167</v>
      </c>
      <c r="C25" s="25" t="s">
        <v>262</v>
      </c>
      <c r="D25" s="23"/>
      <c r="E25" s="19"/>
      <c r="F25" s="19"/>
      <c r="G25" s="19"/>
      <c r="H25" s="20"/>
    </row>
    <row r="26" spans="1:8">
      <c r="A26" s="823"/>
      <c r="B26" s="35" t="s">
        <v>447</v>
      </c>
      <c r="C26" s="35" t="s">
        <v>266</v>
      </c>
      <c r="D26" s="48"/>
      <c r="E26" s="37"/>
      <c r="F26" s="37"/>
      <c r="G26" s="37"/>
      <c r="H26" s="38"/>
    </row>
    <row r="27" spans="1:8" ht="5.25" customHeight="1">
      <c r="A27" s="39"/>
      <c r="B27" s="40"/>
      <c r="H27" s="42"/>
    </row>
    <row r="28" spans="1:8" s="5" customFormat="1" ht="13.5" customHeight="1">
      <c r="A28" s="821" t="s">
        <v>160</v>
      </c>
      <c r="B28" s="345" t="s">
        <v>101</v>
      </c>
      <c r="C28" s="346" t="s">
        <v>48</v>
      </c>
      <c r="D28" s="347" t="s">
        <v>125</v>
      </c>
      <c r="E28" s="347" t="s">
        <v>260</v>
      </c>
      <c r="F28" s="347" t="s">
        <v>414</v>
      </c>
      <c r="G28" s="348" t="s">
        <v>454</v>
      </c>
      <c r="H28" s="349" t="s">
        <v>470</v>
      </c>
    </row>
    <row r="29" spans="1:8">
      <c r="A29" s="822"/>
      <c r="B29" s="129" t="s">
        <v>417</v>
      </c>
      <c r="C29" s="53">
        <f>39*D29</f>
        <v>6084</v>
      </c>
      <c r="D29" s="17">
        <v>156</v>
      </c>
      <c r="E29" s="17" t="s">
        <v>436</v>
      </c>
      <c r="F29" s="17" t="s">
        <v>436</v>
      </c>
      <c r="G29" s="159">
        <f t="shared" ref="G29:G37" si="0">D29/$D$38</f>
        <v>5.168986083499006E-2</v>
      </c>
      <c r="H29" s="55" t="s">
        <v>449</v>
      </c>
    </row>
    <row r="30" spans="1:8">
      <c r="A30" s="822"/>
      <c r="B30" s="16" t="s">
        <v>88</v>
      </c>
      <c r="C30" s="53">
        <f>59*D30</f>
        <v>13393</v>
      </c>
      <c r="D30" s="17">
        <v>227</v>
      </c>
      <c r="E30" s="17">
        <f t="shared" ref="E30:E37" si="1">D30-F30</f>
        <v>40</v>
      </c>
      <c r="F30" s="160">
        <v>187</v>
      </c>
      <c r="G30" s="159">
        <f t="shared" si="0"/>
        <v>7.5215374420145795E-2</v>
      </c>
      <c r="H30" s="55"/>
    </row>
    <row r="31" spans="1:8">
      <c r="A31" s="822"/>
      <c r="B31" s="16" t="s">
        <v>61</v>
      </c>
      <c r="C31" s="53">
        <f>59*D31</f>
        <v>18880</v>
      </c>
      <c r="D31" s="17">
        <v>320</v>
      </c>
      <c r="E31" s="17">
        <f t="shared" si="1"/>
        <v>308</v>
      </c>
      <c r="F31" s="160">
        <v>12</v>
      </c>
      <c r="G31" s="159">
        <f t="shared" si="0"/>
        <v>0.10603048376408217</v>
      </c>
      <c r="H31" s="55"/>
    </row>
    <row r="32" spans="1:8">
      <c r="A32" s="822"/>
      <c r="B32" s="16" t="s">
        <v>85</v>
      </c>
      <c r="C32" s="53">
        <f>75*D32</f>
        <v>41850</v>
      </c>
      <c r="D32" s="17">
        <v>558</v>
      </c>
      <c r="E32" s="17">
        <f t="shared" si="1"/>
        <v>398</v>
      </c>
      <c r="F32" s="160">
        <v>160</v>
      </c>
      <c r="G32" s="159">
        <f t="shared" si="0"/>
        <v>0.18489065606361829</v>
      </c>
      <c r="H32" s="55"/>
    </row>
    <row r="33" spans="1:8">
      <c r="A33" s="822"/>
      <c r="B33" s="16" t="s">
        <v>134</v>
      </c>
      <c r="C33" s="53">
        <f>75*D33</f>
        <v>30300</v>
      </c>
      <c r="D33" s="17">
        <v>404</v>
      </c>
      <c r="E33" s="17">
        <f t="shared" si="1"/>
        <v>387</v>
      </c>
      <c r="F33" s="160">
        <v>17</v>
      </c>
      <c r="G33" s="159">
        <f t="shared" si="0"/>
        <v>0.13386348575215373</v>
      </c>
      <c r="H33" s="55"/>
    </row>
    <row r="34" spans="1:8">
      <c r="A34" s="822"/>
      <c r="B34" s="16" t="s">
        <v>44</v>
      </c>
      <c r="C34" s="53">
        <f>75*D34</f>
        <v>15750</v>
      </c>
      <c r="D34" s="17">
        <v>210</v>
      </c>
      <c r="E34" s="17">
        <f t="shared" si="1"/>
        <v>207</v>
      </c>
      <c r="F34" s="160">
        <v>3</v>
      </c>
      <c r="G34" s="159">
        <f t="shared" si="0"/>
        <v>6.9582504970178927E-2</v>
      </c>
      <c r="H34" s="55"/>
    </row>
    <row r="35" spans="1:8">
      <c r="A35" s="822"/>
      <c r="B35" s="16" t="s">
        <v>193</v>
      </c>
      <c r="C35" s="53">
        <f>84*D35</f>
        <v>69720</v>
      </c>
      <c r="D35" s="17">
        <v>830</v>
      </c>
      <c r="E35" s="17">
        <f t="shared" si="1"/>
        <v>514</v>
      </c>
      <c r="F35" s="160">
        <v>316</v>
      </c>
      <c r="G35" s="159">
        <f t="shared" si="0"/>
        <v>0.27501656726308815</v>
      </c>
      <c r="H35" s="55"/>
    </row>
    <row r="36" spans="1:8">
      <c r="A36" s="822"/>
      <c r="B36" s="16" t="s">
        <v>56</v>
      </c>
      <c r="C36" s="53">
        <f>84*D36</f>
        <v>22092</v>
      </c>
      <c r="D36" s="17">
        <v>263</v>
      </c>
      <c r="E36" s="17">
        <f t="shared" si="1"/>
        <v>227</v>
      </c>
      <c r="F36" s="160">
        <v>36</v>
      </c>
      <c r="G36" s="159">
        <f t="shared" si="0"/>
        <v>8.7143803843605039E-2</v>
      </c>
      <c r="H36" s="55"/>
    </row>
    <row r="37" spans="1:8">
      <c r="A37" s="821"/>
      <c r="B37" s="16" t="s">
        <v>60</v>
      </c>
      <c r="C37" s="53">
        <f>84*D37</f>
        <v>4200</v>
      </c>
      <c r="D37" s="17">
        <v>50</v>
      </c>
      <c r="E37" s="17">
        <f t="shared" si="1"/>
        <v>0</v>
      </c>
      <c r="F37" s="160">
        <v>50</v>
      </c>
      <c r="G37" s="159">
        <f t="shared" si="0"/>
        <v>1.656726308813784E-2</v>
      </c>
      <c r="H37" s="161"/>
    </row>
    <row r="38" spans="1:8">
      <c r="A38" s="823"/>
      <c r="B38" s="129" t="s">
        <v>462</v>
      </c>
      <c r="C38" s="57">
        <f>SUM(C29:C37)</f>
        <v>222269</v>
      </c>
      <c r="D38" s="57">
        <f>SUM(D29:D37)</f>
        <v>3018</v>
      </c>
      <c r="E38" s="57">
        <f>SUM(E30:E37)</f>
        <v>2081</v>
      </c>
      <c r="F38" s="57">
        <f>SUM(F30:F37)</f>
        <v>781</v>
      </c>
      <c r="G38" s="135">
        <f>SUM(G29:G37)</f>
        <v>0.99999999999999989</v>
      </c>
      <c r="H38" s="60"/>
    </row>
    <row r="39" spans="1:8" ht="4.5" customHeight="1">
      <c r="A39" s="39"/>
      <c r="B39" s="40"/>
      <c r="H39" s="42"/>
    </row>
    <row r="40" spans="1:8" s="2" customFormat="1" ht="32">
      <c r="A40" s="830" t="s">
        <v>5</v>
      </c>
      <c r="B40" s="345" t="s">
        <v>360</v>
      </c>
      <c r="C40" s="347" t="s">
        <v>904</v>
      </c>
      <c r="D40" s="353" t="s">
        <v>912</v>
      </c>
      <c r="E40" s="347" t="s">
        <v>910</v>
      </c>
      <c r="F40" s="347" t="s">
        <v>906</v>
      </c>
      <c r="G40" s="350" t="s">
        <v>172</v>
      </c>
      <c r="H40" s="351" t="s">
        <v>470</v>
      </c>
    </row>
    <row r="41" spans="1:8" ht="18.75" customHeight="1">
      <c r="A41" s="831"/>
      <c r="B41" s="129" t="s">
        <v>417</v>
      </c>
      <c r="C41" s="62" t="s">
        <v>139</v>
      </c>
      <c r="D41" s="63" t="s">
        <v>436</v>
      </c>
      <c r="E41" s="252" t="e">
        <f>(D41-C41)*25</f>
        <v>#VALUE!</v>
      </c>
      <c r="F41" s="63" t="s">
        <v>436</v>
      </c>
      <c r="G41" s="252" t="e">
        <f>(F41-C41)*25</f>
        <v>#VALUE!</v>
      </c>
      <c r="H41" s="31"/>
    </row>
    <row r="42" spans="1:8" ht="18.75" customHeight="1">
      <c r="A42" s="831"/>
      <c r="B42" s="16" t="s">
        <v>88</v>
      </c>
      <c r="C42" s="62">
        <v>8122941</v>
      </c>
      <c r="D42" s="63"/>
      <c r="E42" s="252">
        <f>(D42-C42)*25</f>
        <v>-203073525</v>
      </c>
      <c r="F42" s="63"/>
      <c r="G42" s="252">
        <f>(F42-C42)*25</f>
        <v>-203073525</v>
      </c>
      <c r="H42" s="31"/>
    </row>
    <row r="43" spans="1:8" ht="18.75" customHeight="1">
      <c r="A43" s="831"/>
      <c r="B43" s="16" t="s">
        <v>61</v>
      </c>
      <c r="C43" s="62">
        <v>7886015</v>
      </c>
      <c r="D43" s="63"/>
      <c r="E43" s="252">
        <f>(D43-C43)*25</f>
        <v>-197150375</v>
      </c>
      <c r="F43" s="63"/>
      <c r="G43" s="252">
        <f>(F43-C43)*25</f>
        <v>-197150375</v>
      </c>
      <c r="H43" s="31"/>
    </row>
    <row r="44" spans="1:8" ht="18.75" customHeight="1">
      <c r="A44" s="831"/>
      <c r="B44" s="16" t="s">
        <v>85</v>
      </c>
      <c r="C44" s="62">
        <v>8144586</v>
      </c>
      <c r="D44" s="63"/>
      <c r="E44" s="252">
        <f>(D44-C44)*31</f>
        <v>-252482166</v>
      </c>
      <c r="F44" s="63"/>
      <c r="G44" s="252">
        <f>(F44-C44)*31</f>
        <v>-252482166</v>
      </c>
      <c r="H44" s="31"/>
    </row>
    <row r="45" spans="1:8" ht="18.75" customHeight="1">
      <c r="A45" s="831"/>
      <c r="B45" s="16" t="s">
        <v>134</v>
      </c>
      <c r="C45" s="62">
        <v>7955682</v>
      </c>
      <c r="D45" s="63"/>
      <c r="E45" s="252">
        <f>(D45-C45)*31</f>
        <v>-246626142</v>
      </c>
      <c r="F45" s="63"/>
      <c r="G45" s="252">
        <f>(F45-C45)*31</f>
        <v>-246626142</v>
      </c>
      <c r="H45" s="31"/>
    </row>
    <row r="46" spans="1:8" ht="18.75" customHeight="1">
      <c r="A46" s="831"/>
      <c r="B46" s="16" t="s">
        <v>44</v>
      </c>
      <c r="C46" s="62">
        <v>7883756</v>
      </c>
      <c r="D46" s="63"/>
      <c r="E46" s="252">
        <f>(D46-C46)*31</f>
        <v>-244396436</v>
      </c>
      <c r="F46" s="63"/>
      <c r="G46" s="252">
        <f>(F46-C46)*31</f>
        <v>-244396436</v>
      </c>
      <c r="H46" s="31"/>
    </row>
    <row r="47" spans="1:8" ht="18.75" customHeight="1">
      <c r="A47" s="831"/>
      <c r="B47" s="16" t="s">
        <v>193</v>
      </c>
      <c r="C47" s="724">
        <v>8262647</v>
      </c>
      <c r="D47" s="63">
        <v>12000000</v>
      </c>
      <c r="E47" s="252">
        <f>(D47-C47)*34</f>
        <v>127070002</v>
      </c>
      <c r="F47" s="727">
        <v>21760000</v>
      </c>
      <c r="G47" s="252">
        <f>(F47-C47)*34</f>
        <v>458910002</v>
      </c>
      <c r="H47" s="140" t="s">
        <v>276</v>
      </c>
    </row>
    <row r="48" spans="1:8" ht="18.75" customHeight="1">
      <c r="A48" s="830"/>
      <c r="B48" s="16" t="s">
        <v>56</v>
      </c>
      <c r="C48" s="162">
        <v>7983935</v>
      </c>
      <c r="D48" s="63"/>
      <c r="E48" s="252">
        <f>(D48-C48)*34</f>
        <v>-271453790</v>
      </c>
      <c r="F48" s="63"/>
      <c r="G48" s="252">
        <f>(F48-C48)*34</f>
        <v>-271453790</v>
      </c>
      <c r="H48" s="163"/>
    </row>
    <row r="49" spans="1:9" ht="18.75" customHeight="1">
      <c r="A49" s="866" t="s">
        <v>393</v>
      </c>
      <c r="B49" s="56" t="s">
        <v>60</v>
      </c>
      <c r="C49" s="64">
        <v>9355175</v>
      </c>
      <c r="D49" s="65" t="s">
        <v>436</v>
      </c>
      <c r="E49" s="366" t="e">
        <f>(D49-C49)*34</f>
        <v>#VALUE!</v>
      </c>
      <c r="F49" s="65" t="s">
        <v>436</v>
      </c>
      <c r="G49" s="366" t="e">
        <f>(F49-C49)*34</f>
        <v>#VALUE!</v>
      </c>
      <c r="H49" s="66"/>
    </row>
    <row r="50" spans="1:9" ht="3.75" customHeight="1" thickBot="1"/>
    <row r="51" spans="1:9" ht="58">
      <c r="A51" s="818" t="s">
        <v>286</v>
      </c>
      <c r="B51" s="347" t="s">
        <v>101</v>
      </c>
      <c r="C51" s="508" t="s">
        <v>1395</v>
      </c>
      <c r="D51" s="353" t="s">
        <v>247</v>
      </c>
      <c r="E51" s="353" t="s">
        <v>235</v>
      </c>
      <c r="F51" s="353" t="s">
        <v>222</v>
      </c>
      <c r="G51" s="353" t="s">
        <v>367</v>
      </c>
      <c r="H51" s="347" t="s">
        <v>1136</v>
      </c>
      <c r="I51" s="824" t="s">
        <v>1206</v>
      </c>
    </row>
    <row r="52" spans="1:9">
      <c r="A52" s="819"/>
      <c r="B52" s="213" t="s">
        <v>417</v>
      </c>
      <c r="C52" s="62" t="s">
        <v>436</v>
      </c>
      <c r="D52" s="63" t="e">
        <f t="shared" ref="D52:D60" si="2">E41</f>
        <v>#VALUE!</v>
      </c>
      <c r="E52" s="252" t="e">
        <f t="shared" ref="E52:E60" si="3">D52-C52</f>
        <v>#VALUE!</v>
      </c>
      <c r="F52" s="63" t="e">
        <f t="shared" ref="F52:F60" si="4">G41</f>
        <v>#VALUE!</v>
      </c>
      <c r="G52" s="252" t="e">
        <f t="shared" ref="G52:G60" si="5">F52-C52</f>
        <v>#VALUE!</v>
      </c>
      <c r="H52" s="54"/>
      <c r="I52" s="825"/>
    </row>
    <row r="53" spans="1:9">
      <c r="A53" s="819"/>
      <c r="B53" s="25" t="s">
        <v>88</v>
      </c>
      <c r="C53" s="62"/>
      <c r="D53" s="63">
        <f t="shared" si="2"/>
        <v>-203073525</v>
      </c>
      <c r="E53" s="252">
        <f t="shared" si="3"/>
        <v>-203073525</v>
      </c>
      <c r="F53" s="63">
        <f t="shared" si="4"/>
        <v>-203073525</v>
      </c>
      <c r="G53" s="252">
        <f t="shared" si="5"/>
        <v>-203073525</v>
      </c>
      <c r="H53" s="54"/>
      <c r="I53" s="825"/>
    </row>
    <row r="54" spans="1:9">
      <c r="A54" s="819"/>
      <c r="B54" s="25" t="s">
        <v>61</v>
      </c>
      <c r="C54" s="62"/>
      <c r="D54" s="63">
        <f t="shared" si="2"/>
        <v>-197150375</v>
      </c>
      <c r="E54" s="252">
        <f t="shared" si="3"/>
        <v>-197150375</v>
      </c>
      <c r="F54" s="63">
        <f t="shared" si="4"/>
        <v>-197150375</v>
      </c>
      <c r="G54" s="252">
        <f t="shared" si="5"/>
        <v>-197150375</v>
      </c>
      <c r="H54" s="54"/>
      <c r="I54" s="825"/>
    </row>
    <row r="55" spans="1:9">
      <c r="A55" s="819"/>
      <c r="B55" s="25" t="s">
        <v>85</v>
      </c>
      <c r="C55" s="62"/>
      <c r="D55" s="63">
        <f t="shared" si="2"/>
        <v>-252482166</v>
      </c>
      <c r="E55" s="252">
        <f t="shared" si="3"/>
        <v>-252482166</v>
      </c>
      <c r="F55" s="63">
        <f t="shared" si="4"/>
        <v>-252482166</v>
      </c>
      <c r="G55" s="252">
        <f t="shared" si="5"/>
        <v>-252482166</v>
      </c>
      <c r="H55" s="54"/>
      <c r="I55" s="825"/>
    </row>
    <row r="56" spans="1:9">
      <c r="A56" s="819"/>
      <c r="B56" s="25" t="s">
        <v>134</v>
      </c>
      <c r="C56" s="62"/>
      <c r="D56" s="63">
        <f t="shared" si="2"/>
        <v>-246626142</v>
      </c>
      <c r="E56" s="252">
        <f t="shared" si="3"/>
        <v>-246626142</v>
      </c>
      <c r="F56" s="63">
        <f t="shared" si="4"/>
        <v>-246626142</v>
      </c>
      <c r="G56" s="252">
        <f t="shared" si="5"/>
        <v>-246626142</v>
      </c>
      <c r="H56" s="54"/>
      <c r="I56" s="825"/>
    </row>
    <row r="57" spans="1:9">
      <c r="A57" s="819"/>
      <c r="B57" s="25" t="s">
        <v>44</v>
      </c>
      <c r="C57" s="62"/>
      <c r="D57" s="63">
        <f t="shared" si="2"/>
        <v>-244396436</v>
      </c>
      <c r="E57" s="252">
        <f t="shared" si="3"/>
        <v>-244396436</v>
      </c>
      <c r="F57" s="63">
        <f t="shared" si="4"/>
        <v>-244396436</v>
      </c>
      <c r="G57" s="252">
        <f t="shared" si="5"/>
        <v>-244396436</v>
      </c>
      <c r="H57" s="54"/>
      <c r="I57" s="825"/>
    </row>
    <row r="58" spans="1:9" ht="17">
      <c r="A58" s="819"/>
      <c r="B58" s="25" t="s">
        <v>193</v>
      </c>
      <c r="C58" s="62">
        <v>260000000</v>
      </c>
      <c r="D58" s="63">
        <f t="shared" si="2"/>
        <v>127070002</v>
      </c>
      <c r="E58" s="252">
        <f t="shared" si="3"/>
        <v>-132929998</v>
      </c>
      <c r="F58" s="63">
        <f t="shared" si="4"/>
        <v>458910002</v>
      </c>
      <c r="G58" s="252">
        <f t="shared" si="5"/>
        <v>198910002</v>
      </c>
      <c r="H58" s="62">
        <f>(C58+(C47*34))/34</f>
        <v>15909705.823529411</v>
      </c>
      <c r="I58" s="751">
        <f>H58/F47</f>
        <v>0.73114456909602077</v>
      </c>
    </row>
    <row r="59" spans="1:9">
      <c r="A59" s="819"/>
      <c r="B59" s="25" t="s">
        <v>56</v>
      </c>
      <c r="C59" s="62"/>
      <c r="D59" s="63">
        <f t="shared" si="2"/>
        <v>-271453790</v>
      </c>
      <c r="E59" s="252">
        <f t="shared" si="3"/>
        <v>-271453790</v>
      </c>
      <c r="F59" s="63">
        <f t="shared" si="4"/>
        <v>-271453790</v>
      </c>
      <c r="G59" s="252">
        <f t="shared" si="5"/>
        <v>-271453790</v>
      </c>
      <c r="H59" s="54"/>
      <c r="I59" s="31"/>
    </row>
    <row r="60" spans="1:9" ht="16.5" thickBot="1">
      <c r="A60" s="820"/>
      <c r="B60" s="716" t="s">
        <v>60</v>
      </c>
      <c r="C60" s="64"/>
      <c r="D60" s="65" t="e">
        <f t="shared" si="2"/>
        <v>#VALUE!</v>
      </c>
      <c r="E60" s="366" t="e">
        <f t="shared" si="3"/>
        <v>#VALUE!</v>
      </c>
      <c r="F60" s="65" t="e">
        <f t="shared" si="4"/>
        <v>#VALUE!</v>
      </c>
      <c r="G60" s="366" t="e">
        <f t="shared" si="5"/>
        <v>#VALUE!</v>
      </c>
      <c r="H60" s="619"/>
      <c r="I60" s="66"/>
    </row>
    <row r="61" spans="1:9" ht="3.65" customHeight="1" thickBot="1"/>
    <row r="62" spans="1:9" ht="22.75" customHeight="1">
      <c r="A62" s="833" t="s">
        <v>598</v>
      </c>
      <c r="B62" s="243" t="s">
        <v>599</v>
      </c>
      <c r="C62" s="242" t="s">
        <v>660</v>
      </c>
      <c r="D62" s="815" t="s">
        <v>600</v>
      </c>
      <c r="E62" s="816"/>
      <c r="F62" s="816"/>
      <c r="G62" s="816"/>
      <c r="H62" s="817"/>
    </row>
    <row r="63" spans="1:9" ht="22.75" customHeight="1">
      <c r="A63" s="834"/>
      <c r="B63" s="165" t="s">
        <v>595</v>
      </c>
      <c r="C63" s="53">
        <v>980</v>
      </c>
      <c r="D63" s="492"/>
      <c r="H63" s="42"/>
    </row>
    <row r="64" spans="1:9" ht="22.75" customHeight="1">
      <c r="A64" s="834"/>
      <c r="B64" s="165" t="s">
        <v>596</v>
      </c>
      <c r="C64" s="53">
        <v>1020</v>
      </c>
      <c r="D64" s="492"/>
      <c r="H64" s="42"/>
    </row>
    <row r="65" spans="1:8" ht="22.75" customHeight="1">
      <c r="A65" s="834"/>
      <c r="B65" s="165" t="s">
        <v>597</v>
      </c>
      <c r="C65" s="53">
        <v>1100</v>
      </c>
      <c r="D65" s="492"/>
      <c r="H65" s="42"/>
    </row>
    <row r="66" spans="1:8" ht="22.75" customHeight="1">
      <c r="A66" s="835"/>
      <c r="B66" s="165" t="s">
        <v>601</v>
      </c>
      <c r="C66" s="495">
        <v>1150</v>
      </c>
      <c r="D66" s="492"/>
      <c r="H66" s="42"/>
    </row>
    <row r="67" spans="1:8" ht="22.75" customHeight="1">
      <c r="A67" s="835"/>
      <c r="B67" s="165" t="s">
        <v>602</v>
      </c>
      <c r="C67" s="495">
        <v>1400</v>
      </c>
      <c r="D67" s="492"/>
      <c r="H67" s="42"/>
    </row>
    <row r="68" spans="1:8" ht="22.75" customHeight="1">
      <c r="A68" s="835"/>
      <c r="B68" s="165" t="s">
        <v>603</v>
      </c>
      <c r="C68" s="495">
        <v>1300</v>
      </c>
      <c r="D68" s="492"/>
      <c r="H68" s="42"/>
    </row>
    <row r="69" spans="1:8" ht="22.75" customHeight="1">
      <c r="A69" s="835"/>
      <c r="B69" s="165" t="s">
        <v>604</v>
      </c>
      <c r="C69" s="495">
        <v>1620</v>
      </c>
      <c r="D69" s="492"/>
      <c r="H69" s="42"/>
    </row>
    <row r="70" spans="1:8" ht="22.75" customHeight="1">
      <c r="A70" s="835"/>
      <c r="B70" s="165" t="s">
        <v>605</v>
      </c>
      <c r="C70" s="495">
        <f>H58/10000</f>
        <v>1590.9705823529412</v>
      </c>
      <c r="D70" s="492"/>
      <c r="H70" s="42"/>
    </row>
    <row r="71" spans="1:8" ht="22.75" customHeight="1">
      <c r="A71" s="835"/>
      <c r="B71" s="165" t="s">
        <v>606</v>
      </c>
      <c r="C71" s="495"/>
      <c r="D71" s="492"/>
      <c r="H71" s="42"/>
    </row>
    <row r="72" spans="1:8" ht="22.75" customHeight="1">
      <c r="A72" s="835"/>
      <c r="B72" s="165" t="s">
        <v>607</v>
      </c>
      <c r="C72" s="495"/>
      <c r="D72" s="492"/>
      <c r="H72" s="42"/>
    </row>
    <row r="73" spans="1:8" ht="22.75" customHeight="1">
      <c r="A73" s="835"/>
      <c r="B73" s="165" t="s">
        <v>608</v>
      </c>
      <c r="C73" s="495"/>
      <c r="D73" s="492"/>
      <c r="H73" s="42"/>
    </row>
    <row r="74" spans="1:8" ht="22.75" customHeight="1" thickBot="1">
      <c r="A74" s="836"/>
      <c r="B74" s="490" t="s">
        <v>594</v>
      </c>
      <c r="C74" s="494"/>
      <c r="D74" s="493"/>
      <c r="E74" s="486"/>
      <c r="F74" s="486"/>
      <c r="G74" s="486"/>
      <c r="H74" s="487"/>
    </row>
    <row r="75" spans="1:8" ht="3.5" customHeight="1" thickBot="1"/>
    <row r="76" spans="1:8" s="76" customFormat="1" ht="17">
      <c r="A76" s="826" t="s">
        <v>650</v>
      </c>
      <c r="B76" s="564" t="s">
        <v>651</v>
      </c>
      <c r="C76" s="565"/>
      <c r="D76" s="566"/>
      <c r="E76" s="559"/>
      <c r="F76" s="559"/>
      <c r="G76" s="559"/>
      <c r="H76" s="567"/>
    </row>
    <row r="77" spans="1:8" s="76" customFormat="1" ht="15" customHeight="1">
      <c r="A77" s="827"/>
      <c r="B77" s="206" t="s">
        <v>652</v>
      </c>
      <c r="C77" s="78"/>
      <c r="D77" s="79"/>
      <c r="H77" s="114"/>
    </row>
    <row r="78" spans="1:8" s="76" customFormat="1" ht="15" customHeight="1">
      <c r="A78" s="827"/>
      <c r="B78" s="206" t="s">
        <v>760</v>
      </c>
      <c r="C78" s="78"/>
      <c r="D78" s="79"/>
      <c r="H78" s="114"/>
    </row>
    <row r="79" spans="1:8" s="76" customFormat="1" ht="15" customHeight="1">
      <c r="A79" s="827"/>
      <c r="B79" s="206" t="s">
        <v>653</v>
      </c>
      <c r="C79" s="78"/>
      <c r="D79" s="79"/>
      <c r="H79" s="114"/>
    </row>
    <row r="80" spans="1:8" s="76" customFormat="1" ht="15" customHeight="1">
      <c r="A80" s="827"/>
      <c r="B80" s="206" t="s">
        <v>654</v>
      </c>
      <c r="C80" s="78"/>
      <c r="D80" s="79"/>
      <c r="H80" s="114"/>
    </row>
    <row r="81" spans="1:8" s="76" customFormat="1">
      <c r="A81" s="827"/>
      <c r="B81" s="206" t="s">
        <v>761</v>
      </c>
      <c r="C81" s="78"/>
      <c r="D81" s="79"/>
      <c r="H81" s="114"/>
    </row>
    <row r="82" spans="1:8" s="76" customFormat="1">
      <c r="A82" s="827"/>
      <c r="B82" s="206" t="s">
        <v>655</v>
      </c>
      <c r="C82" s="78"/>
      <c r="D82" s="79"/>
      <c r="H82" s="114"/>
    </row>
    <row r="83" spans="1:8" s="76" customFormat="1">
      <c r="A83" s="827"/>
      <c r="B83" s="206" t="s">
        <v>762</v>
      </c>
      <c r="C83" s="78"/>
      <c r="D83" s="79"/>
      <c r="H83" s="114"/>
    </row>
    <row r="84" spans="1:8" s="76" customFormat="1">
      <c r="A84" s="827"/>
      <c r="B84" s="206" t="s">
        <v>763</v>
      </c>
      <c r="C84" s="78"/>
      <c r="D84" s="79"/>
      <c r="H84" s="114"/>
    </row>
    <row r="85" spans="1:8" s="76" customFormat="1">
      <c r="A85" s="827"/>
      <c r="B85" s="608" t="s">
        <v>765</v>
      </c>
      <c r="C85" s="78"/>
      <c r="D85" s="79"/>
      <c r="H85" s="114"/>
    </row>
    <row r="86" spans="1:8" s="76" customFormat="1" ht="16.5" thickBot="1">
      <c r="A86" s="828"/>
      <c r="B86" s="568" t="s">
        <v>764</v>
      </c>
      <c r="C86" s="569"/>
      <c r="D86" s="570"/>
      <c r="E86" s="571"/>
      <c r="F86" s="571"/>
      <c r="G86" s="571"/>
      <c r="H86" s="572"/>
    </row>
    <row r="87" spans="1:8" ht="24" customHeight="1"/>
    <row r="88" spans="1:8" ht="24" customHeight="1"/>
    <row r="89" spans="1:8" ht="24" customHeight="1"/>
    <row r="90" spans="1:8" ht="24" customHeight="1"/>
    <row r="91" spans="1:8" ht="24" customHeight="1"/>
    <row r="92" spans="1:8" ht="24" customHeight="1"/>
    <row r="93" spans="1:8" ht="24" customHeight="1"/>
    <row r="94" spans="1:8" ht="24" customHeight="1"/>
  </sheetData>
  <mergeCells count="19">
    <mergeCell ref="A76:A86"/>
    <mergeCell ref="A62:A74"/>
    <mergeCell ref="D62:H62"/>
    <mergeCell ref="A51:A60"/>
    <mergeCell ref="A18:A26"/>
    <mergeCell ref="A28:A38"/>
    <mergeCell ref="A40:A49"/>
    <mergeCell ref="I51:I57"/>
    <mergeCell ref="A1:H1"/>
    <mergeCell ref="A2:A16"/>
    <mergeCell ref="C4:D4"/>
    <mergeCell ref="D5:E5"/>
    <mergeCell ref="G5:H5"/>
    <mergeCell ref="C13:D13"/>
    <mergeCell ref="B15:B16"/>
    <mergeCell ref="C3:D3"/>
    <mergeCell ref="F12:G12"/>
    <mergeCell ref="F13:H13"/>
    <mergeCell ref="F8:H8"/>
  </mergeCells>
  <phoneticPr fontId="16" type="noConversion"/>
  <pageMargins left="0.69972223043441772" right="0.69972223043441772" top="0.75" bottom="0.75" header="0.30000001192092896" footer="0.30000001192092896"/>
  <pageSetup paperSize="9" scale="75" orientation="portrait" horizontalDpi="4294967293" verticalDpi="4294967293" r:id="rId1"/>
  <rowBreaks count="2" manualBreakCount="2">
    <brk id="60" max="1048575" man="1"/>
    <brk id="82" max="1048575" man="1"/>
  </rowBreaks>
  <colBreaks count="1" manualBreakCount="1">
    <brk id="16" max="16383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tabColor rgb="FF0000CC"/>
  </sheetPr>
  <dimension ref="A1:L85"/>
  <sheetViews>
    <sheetView showGridLines="0" topLeftCell="A49" zoomScale="85" zoomScaleNormal="85" workbookViewId="0">
      <selection activeCell="I66" sqref="I66"/>
    </sheetView>
  </sheetViews>
  <sheetFormatPr defaultColWidth="13.4140625" defaultRowHeight="16"/>
  <cols>
    <col min="1" max="1" width="6.4140625" style="76" customWidth="1"/>
    <col min="2" max="2" width="17.33203125" style="77" customWidth="1"/>
    <col min="3" max="3" width="23.5" style="78" customWidth="1"/>
    <col min="4" max="4" width="18.5" style="79" customWidth="1"/>
    <col min="5" max="5" width="17.6640625" style="76" bestFit="1" customWidth="1"/>
    <col min="6" max="6" width="15.5" style="76" bestFit="1" customWidth="1"/>
    <col min="7" max="7" width="14" style="76" bestFit="1" customWidth="1"/>
    <col min="8" max="8" width="16.9140625" style="76" bestFit="1" customWidth="1"/>
    <col min="9" max="9" width="26.33203125" style="76" bestFit="1" customWidth="1"/>
    <col min="10" max="16384" width="13.4140625" style="76"/>
  </cols>
  <sheetData>
    <row r="1" spans="1:8" ht="31.5" customHeight="1" thickBot="1">
      <c r="A1" s="870" t="s">
        <v>163</v>
      </c>
      <c r="B1" s="870"/>
      <c r="C1" s="870"/>
      <c r="D1" s="870"/>
      <c r="E1" s="870"/>
      <c r="F1" s="870"/>
      <c r="G1" s="870"/>
      <c r="H1" s="870"/>
    </row>
    <row r="2" spans="1:8" ht="15.5" customHeight="1">
      <c r="A2" s="821" t="s">
        <v>112</v>
      </c>
      <c r="B2" s="6" t="s">
        <v>420</v>
      </c>
      <c r="C2" s="852" t="s">
        <v>648</v>
      </c>
      <c r="D2" s="852"/>
      <c r="E2" s="852"/>
      <c r="F2" s="852"/>
      <c r="G2" s="852"/>
      <c r="H2" s="852"/>
    </row>
    <row r="3" spans="1:8" ht="15" customHeight="1">
      <c r="A3" s="829"/>
      <c r="B3" s="11" t="s">
        <v>471</v>
      </c>
      <c r="C3" s="851" t="s">
        <v>218</v>
      </c>
      <c r="D3" s="851"/>
      <c r="E3" s="851"/>
      <c r="F3" s="851"/>
      <c r="G3" s="851"/>
      <c r="H3" s="851"/>
    </row>
    <row r="4" spans="1:8" ht="16.5" thickBot="1">
      <c r="A4" s="829"/>
      <c r="B4" s="11" t="s">
        <v>407</v>
      </c>
      <c r="C4" s="555" t="s">
        <v>397</v>
      </c>
      <c r="D4" s="556"/>
      <c r="E4" s="83"/>
      <c r="F4" s="83"/>
      <c r="G4" s="83"/>
      <c r="H4" s="84"/>
    </row>
    <row r="5" spans="1:8">
      <c r="A5" s="821"/>
      <c r="B5" s="11" t="s">
        <v>58</v>
      </c>
      <c r="C5" s="845" t="s">
        <v>263</v>
      </c>
      <c r="D5" s="846"/>
      <c r="E5" s="85"/>
      <c r="F5" s="85"/>
      <c r="G5" s="85"/>
      <c r="H5" s="86"/>
    </row>
    <row r="6" spans="1:8">
      <c r="A6" s="829"/>
      <c r="B6" s="11" t="s">
        <v>53</v>
      </c>
      <c r="C6" s="845">
        <v>77808</v>
      </c>
      <c r="D6" s="847"/>
      <c r="E6" s="85"/>
      <c r="F6" s="85"/>
      <c r="G6" s="85"/>
      <c r="H6" s="86"/>
    </row>
    <row r="7" spans="1:8">
      <c r="A7" s="838"/>
      <c r="B7" s="16" t="s">
        <v>99</v>
      </c>
      <c r="C7" s="87">
        <v>100459</v>
      </c>
      <c r="D7" s="840" t="s">
        <v>231</v>
      </c>
      <c r="E7" s="841"/>
      <c r="F7" s="359">
        <f>C7*0.3025/C9</f>
        <v>50.987999161073823</v>
      </c>
      <c r="G7" s="842" t="s">
        <v>524</v>
      </c>
      <c r="H7" s="843"/>
    </row>
    <row r="8" spans="1:8">
      <c r="A8" s="838"/>
      <c r="B8" s="16" t="s">
        <v>425</v>
      </c>
      <c r="C8" s="87">
        <v>25</v>
      </c>
      <c r="D8" s="88" t="s">
        <v>332</v>
      </c>
      <c r="E8" s="83"/>
      <c r="F8" s="83"/>
      <c r="G8" s="83"/>
      <c r="H8" s="84"/>
    </row>
    <row r="9" spans="1:8">
      <c r="A9" s="838"/>
      <c r="B9" s="16" t="s">
        <v>335</v>
      </c>
      <c r="C9" s="87">
        <v>596</v>
      </c>
      <c r="D9" s="89" t="s">
        <v>39</v>
      </c>
      <c r="E9" s="90">
        <f>C9/C11</f>
        <v>0.24012892828364221</v>
      </c>
      <c r="F9" s="88"/>
      <c r="G9" s="83"/>
      <c r="H9" s="84"/>
    </row>
    <row r="10" spans="1:8" ht="32">
      <c r="A10" s="838"/>
      <c r="B10" s="176" t="s">
        <v>243</v>
      </c>
      <c r="C10" s="360">
        <f>C11-C9</f>
        <v>1886</v>
      </c>
      <c r="D10" s="89" t="s">
        <v>145</v>
      </c>
      <c r="E10" s="361">
        <f>C10/C11</f>
        <v>0.75987107171635782</v>
      </c>
      <c r="F10" s="848" t="s">
        <v>29</v>
      </c>
      <c r="G10" s="849"/>
      <c r="H10" s="850"/>
    </row>
    <row r="11" spans="1:8">
      <c r="A11" s="838"/>
      <c r="B11" s="16" t="s">
        <v>150</v>
      </c>
      <c r="C11" s="87">
        <v>2482</v>
      </c>
      <c r="D11" s="557" t="s">
        <v>21</v>
      </c>
      <c r="E11" s="83"/>
      <c r="F11" s="83"/>
      <c r="G11" s="83"/>
      <c r="H11" s="84"/>
    </row>
    <row r="12" spans="1:8">
      <c r="A12" s="838"/>
      <c r="B12" s="16" t="s">
        <v>427</v>
      </c>
      <c r="C12" s="92">
        <v>0.17300000000000001</v>
      </c>
      <c r="D12" s="93" t="s">
        <v>84</v>
      </c>
      <c r="E12" s="94">
        <f>C7*C12</f>
        <v>17379.407000000003</v>
      </c>
      <c r="F12" s="95" t="s">
        <v>41</v>
      </c>
      <c r="G12" s="96">
        <f>E13/E12</f>
        <v>14.806358381502886</v>
      </c>
      <c r="H12" s="97"/>
    </row>
    <row r="13" spans="1:8">
      <c r="A13" s="838"/>
      <c r="B13" s="16" t="s">
        <v>466</v>
      </c>
      <c r="C13" s="92">
        <v>2.5614999999999997</v>
      </c>
      <c r="D13" s="93" t="s">
        <v>91</v>
      </c>
      <c r="E13" s="98">
        <f>C7*C13</f>
        <v>257325.72849999997</v>
      </c>
      <c r="F13" s="95" t="s">
        <v>209</v>
      </c>
      <c r="G13" s="96">
        <f>E13*76%</f>
        <v>195567.55365999998</v>
      </c>
      <c r="H13" s="99"/>
    </row>
    <row r="14" spans="1:8">
      <c r="A14" s="838"/>
      <c r="B14" s="16" t="s">
        <v>208</v>
      </c>
      <c r="C14" s="100" t="s">
        <v>245</v>
      </c>
      <c r="D14" s="88"/>
      <c r="E14" s="83"/>
      <c r="F14" s="840" t="s">
        <v>234</v>
      </c>
      <c r="G14" s="841"/>
      <c r="H14" s="367">
        <f>G13/C39</f>
        <v>1.0959051047614776</v>
      </c>
    </row>
    <row r="15" spans="1:8" ht="15" customHeight="1">
      <c r="A15" s="838"/>
      <c r="B15" s="16" t="s">
        <v>441</v>
      </c>
      <c r="C15" s="101" t="s">
        <v>780</v>
      </c>
      <c r="D15" s="102"/>
      <c r="E15" s="103"/>
      <c r="F15" s="848" t="s">
        <v>392</v>
      </c>
      <c r="G15" s="849"/>
      <c r="H15" s="850"/>
    </row>
    <row r="16" spans="1:8" ht="16.5" thickBot="1">
      <c r="A16" s="838"/>
      <c r="B16" s="32" t="s">
        <v>87</v>
      </c>
      <c r="C16" s="222">
        <v>1.01</v>
      </c>
      <c r="D16" s="104"/>
      <c r="E16" s="83"/>
      <c r="F16" s="83"/>
      <c r="G16" s="83"/>
      <c r="H16" s="84"/>
    </row>
    <row r="17" spans="1:8" ht="15" customHeight="1" thickBot="1">
      <c r="A17" s="871"/>
      <c r="B17" s="554" t="s">
        <v>470</v>
      </c>
      <c r="C17" s="563" t="s">
        <v>1379</v>
      </c>
      <c r="D17" s="365"/>
      <c r="E17" s="110"/>
      <c r="F17" s="110"/>
      <c r="G17" s="110"/>
      <c r="H17" s="111"/>
    </row>
    <row r="18" spans="1:8" ht="5.25" customHeight="1" thickBot="1">
      <c r="A18" s="112"/>
      <c r="B18" s="515"/>
      <c r="C18" s="113"/>
      <c r="D18" s="113"/>
      <c r="H18" s="114"/>
    </row>
    <row r="19" spans="1:8">
      <c r="A19" s="821" t="s">
        <v>49</v>
      </c>
      <c r="B19" s="43" t="s">
        <v>174</v>
      </c>
      <c r="C19" s="115" t="s">
        <v>325</v>
      </c>
      <c r="D19" s="116"/>
      <c r="E19" s="117"/>
      <c r="F19" s="117"/>
      <c r="G19" s="117"/>
      <c r="H19" s="118"/>
    </row>
    <row r="20" spans="1:8">
      <c r="A20" s="822"/>
      <c r="B20" s="25" t="s">
        <v>65</v>
      </c>
      <c r="C20" s="119" t="s">
        <v>338</v>
      </c>
      <c r="D20" s="120"/>
      <c r="E20" s="83"/>
      <c r="F20" s="83"/>
      <c r="G20" s="83"/>
      <c r="H20" s="84"/>
    </row>
    <row r="21" spans="1:8">
      <c r="A21" s="821"/>
      <c r="B21" s="25" t="s">
        <v>95</v>
      </c>
      <c r="C21" s="93" t="s">
        <v>319</v>
      </c>
      <c r="D21" s="120"/>
      <c r="E21" s="83"/>
      <c r="F21" s="83"/>
      <c r="G21" s="83"/>
      <c r="H21" s="84"/>
    </row>
    <row r="22" spans="1:8">
      <c r="A22" s="822"/>
      <c r="B22" s="25" t="s">
        <v>349</v>
      </c>
      <c r="C22" s="93" t="s">
        <v>348</v>
      </c>
      <c r="D22" s="120"/>
      <c r="E22" s="83"/>
      <c r="F22" s="83"/>
      <c r="G22" s="83"/>
      <c r="H22" s="84"/>
    </row>
    <row r="23" spans="1:8">
      <c r="A23" s="821"/>
      <c r="B23" s="25" t="s">
        <v>452</v>
      </c>
      <c r="C23" s="93" t="s">
        <v>221</v>
      </c>
      <c r="D23" s="120"/>
      <c r="E23" s="83"/>
      <c r="F23" s="83"/>
      <c r="G23" s="83"/>
      <c r="H23" s="84"/>
    </row>
    <row r="24" spans="1:8">
      <c r="A24" s="822"/>
      <c r="B24" s="25" t="s">
        <v>445</v>
      </c>
      <c r="C24" s="93" t="s">
        <v>1378</v>
      </c>
      <c r="D24" s="91"/>
      <c r="E24" s="83"/>
      <c r="F24" s="83"/>
      <c r="G24" s="83"/>
      <c r="H24" s="84"/>
    </row>
    <row r="25" spans="1:8">
      <c r="A25" s="822"/>
      <c r="B25" s="25" t="s">
        <v>167</v>
      </c>
      <c r="C25" s="93" t="s">
        <v>359</v>
      </c>
      <c r="D25" s="91"/>
      <c r="E25" s="83"/>
      <c r="F25" s="83"/>
      <c r="G25" s="83"/>
      <c r="H25" s="84"/>
    </row>
    <row r="26" spans="1:8">
      <c r="A26" s="822"/>
      <c r="B26" s="25" t="s">
        <v>447</v>
      </c>
      <c r="C26" s="93" t="s">
        <v>352</v>
      </c>
      <c r="D26" s="91"/>
      <c r="E26" s="83"/>
      <c r="F26" s="83"/>
      <c r="G26" s="83"/>
      <c r="H26" s="84"/>
    </row>
    <row r="27" spans="1:8">
      <c r="A27" s="823"/>
      <c r="B27" s="25"/>
      <c r="C27" s="558"/>
      <c r="D27" s="123"/>
      <c r="E27" s="110"/>
      <c r="F27" s="110"/>
      <c r="G27" s="110"/>
      <c r="H27" s="111"/>
    </row>
    <row r="28" spans="1:8" ht="5.25" customHeight="1">
      <c r="A28" s="112"/>
      <c r="B28" s="40"/>
      <c r="C28" s="3"/>
      <c r="H28" s="114"/>
    </row>
    <row r="29" spans="1:8" s="80" customFormat="1" ht="13.5" customHeight="1">
      <c r="A29" s="821" t="s">
        <v>160</v>
      </c>
      <c r="B29" s="345" t="s">
        <v>101</v>
      </c>
      <c r="C29" s="346" t="s">
        <v>48</v>
      </c>
      <c r="D29" s="347" t="s">
        <v>125</v>
      </c>
      <c r="E29" s="347" t="s">
        <v>434</v>
      </c>
      <c r="F29" s="347" t="s">
        <v>414</v>
      </c>
      <c r="G29" s="348" t="s">
        <v>454</v>
      </c>
      <c r="H29" s="349" t="s">
        <v>470</v>
      </c>
    </row>
    <row r="30" spans="1:8">
      <c r="A30" s="822"/>
      <c r="B30" s="129" t="s">
        <v>469</v>
      </c>
      <c r="C30" s="130">
        <f>37*D30</f>
        <v>2516</v>
      </c>
      <c r="D30" s="87">
        <v>68</v>
      </c>
      <c r="E30" s="87" t="s">
        <v>436</v>
      </c>
      <c r="F30" s="87" t="s">
        <v>436</v>
      </c>
      <c r="G30" s="131">
        <f t="shared" ref="G30:G38" si="0">D30/$D$39</f>
        <v>2.7397260273972601E-2</v>
      </c>
      <c r="H30" s="132" t="s">
        <v>449</v>
      </c>
    </row>
    <row r="31" spans="1:8">
      <c r="A31" s="829"/>
      <c r="B31" s="129" t="s">
        <v>408</v>
      </c>
      <c r="C31" s="130">
        <f>48*D31</f>
        <v>2784</v>
      </c>
      <c r="D31" s="87">
        <v>58</v>
      </c>
      <c r="E31" s="87" t="s">
        <v>436</v>
      </c>
      <c r="F31" s="87" t="s">
        <v>436</v>
      </c>
      <c r="G31" s="131">
        <f t="shared" si="0"/>
        <v>2.3368251410153102E-2</v>
      </c>
      <c r="H31" s="132" t="s">
        <v>449</v>
      </c>
    </row>
    <row r="32" spans="1:8">
      <c r="A32" s="821"/>
      <c r="B32" s="129" t="s">
        <v>473</v>
      </c>
      <c r="C32" s="130">
        <f>59*D32</f>
        <v>31565</v>
      </c>
      <c r="D32" s="87">
        <v>535</v>
      </c>
      <c r="E32" s="87">
        <f t="shared" ref="E32:E38" si="1">D32-F32</f>
        <v>428</v>
      </c>
      <c r="F32" s="87">
        <v>107</v>
      </c>
      <c r="G32" s="131">
        <f t="shared" si="0"/>
        <v>0.21555197421434327</v>
      </c>
      <c r="H32" s="132"/>
    </row>
    <row r="33" spans="1:8">
      <c r="A33" s="822"/>
      <c r="B33" s="16" t="s">
        <v>475</v>
      </c>
      <c r="C33" s="130">
        <f>59*D33</f>
        <v>6490</v>
      </c>
      <c r="D33" s="87">
        <v>110</v>
      </c>
      <c r="E33" s="87">
        <f t="shared" si="1"/>
        <v>77</v>
      </c>
      <c r="F33" s="87">
        <v>33</v>
      </c>
      <c r="G33" s="131">
        <f t="shared" si="0"/>
        <v>4.4319097502014501E-2</v>
      </c>
      <c r="H33" s="132"/>
    </row>
    <row r="34" spans="1:8">
      <c r="A34" s="822"/>
      <c r="B34" s="129" t="s">
        <v>433</v>
      </c>
      <c r="C34" s="130">
        <f>73*D34</f>
        <v>52268</v>
      </c>
      <c r="D34" s="87">
        <v>716</v>
      </c>
      <c r="E34" s="87">
        <f t="shared" si="1"/>
        <v>561</v>
      </c>
      <c r="F34" s="87">
        <v>155</v>
      </c>
      <c r="G34" s="131">
        <f t="shared" si="0"/>
        <v>0.28847703464947622</v>
      </c>
      <c r="H34" s="132"/>
    </row>
    <row r="35" spans="1:8">
      <c r="A35" s="829"/>
      <c r="B35" s="129" t="s">
        <v>472</v>
      </c>
      <c r="C35" s="130">
        <f>84*D35</f>
        <v>51996</v>
      </c>
      <c r="D35" s="133">
        <v>619</v>
      </c>
      <c r="E35" s="87">
        <f t="shared" si="1"/>
        <v>444</v>
      </c>
      <c r="F35" s="133">
        <v>175</v>
      </c>
      <c r="G35" s="131">
        <f t="shared" si="0"/>
        <v>0.24939564867042707</v>
      </c>
      <c r="H35" s="134"/>
    </row>
    <row r="36" spans="1:8">
      <c r="A36" s="829"/>
      <c r="B36" s="129" t="s">
        <v>478</v>
      </c>
      <c r="C36" s="130">
        <f>84*D36</f>
        <v>27048</v>
      </c>
      <c r="D36" s="133">
        <v>322</v>
      </c>
      <c r="E36" s="87">
        <f t="shared" si="1"/>
        <v>226</v>
      </c>
      <c r="F36" s="133">
        <v>96</v>
      </c>
      <c r="G36" s="131">
        <f t="shared" si="0"/>
        <v>0.1297340854149879</v>
      </c>
      <c r="H36" s="134"/>
    </row>
    <row r="37" spans="1:8">
      <c r="A37" s="821"/>
      <c r="B37" s="129" t="s">
        <v>437</v>
      </c>
      <c r="C37" s="130">
        <f>59*D37</f>
        <v>1770</v>
      </c>
      <c r="D37" s="133">
        <v>30</v>
      </c>
      <c r="E37" s="87">
        <f t="shared" si="1"/>
        <v>0</v>
      </c>
      <c r="F37" s="133">
        <v>30</v>
      </c>
      <c r="G37" s="131">
        <f t="shared" si="0"/>
        <v>1.2087026591458501E-2</v>
      </c>
      <c r="H37" s="134"/>
    </row>
    <row r="38" spans="1:8">
      <c r="A38" s="829"/>
      <c r="B38" s="129" t="s">
        <v>476</v>
      </c>
      <c r="C38" s="130">
        <f>84*D38</f>
        <v>2016</v>
      </c>
      <c r="D38" s="133">
        <v>24</v>
      </c>
      <c r="E38" s="87">
        <f t="shared" si="1"/>
        <v>24</v>
      </c>
      <c r="F38" s="133">
        <v>0</v>
      </c>
      <c r="G38" s="131">
        <f t="shared" si="0"/>
        <v>9.6696212731668015E-3</v>
      </c>
      <c r="H38" s="134"/>
    </row>
    <row r="39" spans="1:8">
      <c r="A39" s="823"/>
      <c r="B39" s="129" t="s">
        <v>462</v>
      </c>
      <c r="C39" s="57">
        <f>SUM(C30:C38)</f>
        <v>178453</v>
      </c>
      <c r="D39" s="57">
        <f>SUM(D30:D38)</f>
        <v>2482</v>
      </c>
      <c r="E39" s="57">
        <f>SUM(E30:E38)</f>
        <v>1760</v>
      </c>
      <c r="F39" s="57">
        <f>SUM(F30:F38)</f>
        <v>596</v>
      </c>
      <c r="G39" s="135">
        <f>SUM(G30:G38)</f>
        <v>1</v>
      </c>
      <c r="H39" s="136">
        <f>SUM(H30:H34)</f>
        <v>0</v>
      </c>
    </row>
    <row r="40" spans="1:8" ht="6" customHeight="1">
      <c r="A40" s="112"/>
      <c r="B40" s="40"/>
      <c r="C40" s="3"/>
      <c r="H40" s="114"/>
    </row>
    <row r="41" spans="1:8" s="77" customFormat="1">
      <c r="A41" s="867" t="s">
        <v>33</v>
      </c>
      <c r="B41" s="345" t="s">
        <v>451</v>
      </c>
      <c r="C41" s="347" t="s">
        <v>904</v>
      </c>
      <c r="D41" s="347" t="s">
        <v>905</v>
      </c>
      <c r="E41" s="347" t="s">
        <v>910</v>
      </c>
      <c r="F41" s="347" t="s">
        <v>327</v>
      </c>
      <c r="G41" s="350" t="s">
        <v>172</v>
      </c>
      <c r="H41" s="351" t="s">
        <v>470</v>
      </c>
    </row>
    <row r="42" spans="1:8" ht="16.5" customHeight="1">
      <c r="A42" s="868"/>
      <c r="B42" s="129" t="s">
        <v>469</v>
      </c>
      <c r="C42" s="138" t="s">
        <v>436</v>
      </c>
      <c r="D42" s="139" t="s">
        <v>436</v>
      </c>
      <c r="E42" s="354" t="e">
        <f>(D42-C42)*17</f>
        <v>#VALUE!</v>
      </c>
      <c r="F42" s="139" t="s">
        <v>436</v>
      </c>
      <c r="G42" s="354" t="e">
        <f>(F42-C42)*17</f>
        <v>#VALUE!</v>
      </c>
      <c r="H42" s="140" t="s">
        <v>449</v>
      </c>
    </row>
    <row r="43" spans="1:8" ht="16.5" customHeight="1">
      <c r="A43" s="869"/>
      <c r="B43" s="129" t="s">
        <v>408</v>
      </c>
      <c r="C43" s="138" t="s">
        <v>436</v>
      </c>
      <c r="D43" s="139" t="s">
        <v>436</v>
      </c>
      <c r="E43" s="354" t="e">
        <f>(D43-C43)*20</f>
        <v>#VALUE!</v>
      </c>
      <c r="F43" s="139" t="s">
        <v>436</v>
      </c>
      <c r="G43" s="354" t="e">
        <f>(F43-C43)*20</f>
        <v>#VALUE!</v>
      </c>
      <c r="H43" s="140" t="s">
        <v>449</v>
      </c>
    </row>
    <row r="44" spans="1:8" ht="16.5" customHeight="1">
      <c r="A44" s="867"/>
      <c r="B44" s="129" t="s">
        <v>473</v>
      </c>
      <c r="C44" s="138">
        <v>8706000</v>
      </c>
      <c r="D44" s="139">
        <v>12000000</v>
      </c>
      <c r="E44" s="354">
        <f>(D44-C44)*25</f>
        <v>82350000</v>
      </c>
      <c r="F44" s="139"/>
      <c r="G44" s="354">
        <f>(F44-C44)*25</f>
        <v>-217650000</v>
      </c>
      <c r="H44" s="140"/>
    </row>
    <row r="45" spans="1:8" ht="16.5" customHeight="1">
      <c r="A45" s="868"/>
      <c r="B45" s="185" t="s">
        <v>475</v>
      </c>
      <c r="C45" s="138">
        <v>8706000</v>
      </c>
      <c r="D45" s="139">
        <v>12000000</v>
      </c>
      <c r="E45" s="354">
        <f>(D45-C45)*25</f>
        <v>82350000</v>
      </c>
      <c r="F45" s="139"/>
      <c r="G45" s="354">
        <f>(F45-C45)*25</f>
        <v>-217650000</v>
      </c>
      <c r="H45" s="140"/>
    </row>
    <row r="46" spans="1:8" ht="16.5" customHeight="1">
      <c r="A46" s="868"/>
      <c r="B46" s="129" t="s">
        <v>433</v>
      </c>
      <c r="C46" s="138">
        <v>8360000</v>
      </c>
      <c r="D46" s="139">
        <v>12000000</v>
      </c>
      <c r="E46" s="354">
        <f>(D46-C46)*30</f>
        <v>109200000</v>
      </c>
      <c r="F46" s="139"/>
      <c r="G46" s="354">
        <f>(F46-C46)*30</f>
        <v>-250800000</v>
      </c>
      <c r="H46" s="140"/>
    </row>
    <row r="47" spans="1:8" ht="16.5" customHeight="1">
      <c r="A47" s="868"/>
      <c r="B47" s="129" t="s">
        <v>472</v>
      </c>
      <c r="C47" s="726">
        <v>8080000</v>
      </c>
      <c r="D47" s="139">
        <v>12000000</v>
      </c>
      <c r="E47" s="354">
        <f>(D47-C47)*34</f>
        <v>133280000</v>
      </c>
      <c r="F47" s="727">
        <v>21760000</v>
      </c>
      <c r="G47" s="354">
        <f>(F47-C47)*34</f>
        <v>465120000</v>
      </c>
      <c r="H47" s="140" t="s">
        <v>276</v>
      </c>
    </row>
    <row r="48" spans="1:8" ht="16.5" customHeight="1">
      <c r="A48" s="867"/>
      <c r="B48" s="129" t="s">
        <v>478</v>
      </c>
      <c r="C48" s="138">
        <v>8080000</v>
      </c>
      <c r="D48" s="139">
        <v>12000000</v>
      </c>
      <c r="E48" s="354">
        <f>(D48-C48)*34</f>
        <v>133280000</v>
      </c>
      <c r="F48" s="139"/>
      <c r="G48" s="354">
        <f>(F48-C48)*34</f>
        <v>-274720000</v>
      </c>
      <c r="H48" s="140"/>
    </row>
    <row r="49" spans="1:12" ht="16.5" customHeight="1">
      <c r="A49" s="868"/>
      <c r="B49" s="129" t="s">
        <v>437</v>
      </c>
      <c r="C49" s="138">
        <v>9034000</v>
      </c>
      <c r="D49" s="139">
        <v>12000000</v>
      </c>
      <c r="E49" s="354">
        <f>(D49-C49)*25</f>
        <v>74150000</v>
      </c>
      <c r="F49" s="139"/>
      <c r="G49" s="354">
        <f>(F49-C49)*25</f>
        <v>-225850000</v>
      </c>
      <c r="H49" s="140"/>
    </row>
    <row r="50" spans="1:12" ht="5.25" customHeight="1" thickBot="1">
      <c r="A50" s="142"/>
      <c r="B50" s="143"/>
      <c r="C50" s="144"/>
      <c r="D50" s="144"/>
      <c r="E50" s="145"/>
      <c r="F50" s="144"/>
      <c r="G50" s="145"/>
      <c r="H50" s="146"/>
    </row>
    <row r="51" spans="1:12" ht="60.15" customHeight="1">
      <c r="A51" s="818" t="s">
        <v>286</v>
      </c>
      <c r="B51" s="347" t="s">
        <v>101</v>
      </c>
      <c r="C51" s="508" t="s">
        <v>1395</v>
      </c>
      <c r="D51" s="352" t="s">
        <v>247</v>
      </c>
      <c r="E51" s="353" t="s">
        <v>322</v>
      </c>
      <c r="F51" s="352" t="s">
        <v>222</v>
      </c>
      <c r="G51" s="353" t="s">
        <v>367</v>
      </c>
      <c r="H51" s="347" t="s">
        <v>1136</v>
      </c>
      <c r="I51" s="824" t="s">
        <v>1206</v>
      </c>
    </row>
    <row r="52" spans="1:12">
      <c r="A52" s="819"/>
      <c r="B52" s="213" t="s">
        <v>469</v>
      </c>
      <c r="C52" s="148" t="s">
        <v>436</v>
      </c>
      <c r="D52" s="139" t="e">
        <f t="shared" ref="D52:D59" si="2">E42</f>
        <v>#VALUE!</v>
      </c>
      <c r="E52" s="354" t="e">
        <f t="shared" ref="E52:E59" si="3">D52-C52</f>
        <v>#VALUE!</v>
      </c>
      <c r="F52" s="139" t="e">
        <f t="shared" ref="F52:F59" si="4">G42</f>
        <v>#VALUE!</v>
      </c>
      <c r="G52" s="354" t="e">
        <f t="shared" ref="G52:G59" si="5">F52-C52</f>
        <v>#VALUE!</v>
      </c>
      <c r="H52" s="739"/>
      <c r="I52" s="825"/>
    </row>
    <row r="53" spans="1:12">
      <c r="A53" s="819"/>
      <c r="B53" s="213" t="s">
        <v>408</v>
      </c>
      <c r="C53" s="148" t="s">
        <v>436</v>
      </c>
      <c r="D53" s="139" t="e">
        <f t="shared" si="2"/>
        <v>#VALUE!</v>
      </c>
      <c r="E53" s="354" t="e">
        <f t="shared" si="3"/>
        <v>#VALUE!</v>
      </c>
      <c r="F53" s="139" t="e">
        <f t="shared" si="4"/>
        <v>#VALUE!</v>
      </c>
      <c r="G53" s="354" t="e">
        <f t="shared" si="5"/>
        <v>#VALUE!</v>
      </c>
      <c r="H53" s="739"/>
      <c r="I53" s="825"/>
    </row>
    <row r="54" spans="1:12">
      <c r="A54" s="819"/>
      <c r="B54" s="213" t="s">
        <v>473</v>
      </c>
      <c r="C54" s="148"/>
      <c r="D54" s="139">
        <f t="shared" si="2"/>
        <v>82350000</v>
      </c>
      <c r="E54" s="354">
        <f t="shared" si="3"/>
        <v>82350000</v>
      </c>
      <c r="F54" s="139">
        <f t="shared" si="4"/>
        <v>-217650000</v>
      </c>
      <c r="G54" s="354">
        <f t="shared" si="5"/>
        <v>-217650000</v>
      </c>
      <c r="H54" s="739"/>
      <c r="I54" s="825"/>
    </row>
    <row r="55" spans="1:12">
      <c r="A55" s="819"/>
      <c r="B55" s="93" t="s">
        <v>475</v>
      </c>
      <c r="C55" s="148"/>
      <c r="D55" s="139">
        <f t="shared" si="2"/>
        <v>82350000</v>
      </c>
      <c r="E55" s="354">
        <f t="shared" si="3"/>
        <v>82350000</v>
      </c>
      <c r="F55" s="139">
        <f t="shared" si="4"/>
        <v>-217650000</v>
      </c>
      <c r="G55" s="354">
        <f t="shared" si="5"/>
        <v>-217650000</v>
      </c>
      <c r="H55" s="739"/>
      <c r="I55" s="825"/>
    </row>
    <row r="56" spans="1:12">
      <c r="A56" s="819"/>
      <c r="B56" s="213" t="s">
        <v>433</v>
      </c>
      <c r="C56" s="148"/>
      <c r="D56" s="139">
        <f t="shared" si="2"/>
        <v>109200000</v>
      </c>
      <c r="E56" s="354">
        <f t="shared" si="3"/>
        <v>109200000</v>
      </c>
      <c r="F56" s="139">
        <f t="shared" si="4"/>
        <v>-250800000</v>
      </c>
      <c r="G56" s="354">
        <f t="shared" si="5"/>
        <v>-250800000</v>
      </c>
      <c r="H56" s="739"/>
      <c r="I56" s="825"/>
    </row>
    <row r="57" spans="1:12" ht="17">
      <c r="A57" s="819"/>
      <c r="B57" s="213" t="s">
        <v>472</v>
      </c>
      <c r="C57" s="148">
        <v>280000000</v>
      </c>
      <c r="D57" s="139">
        <f t="shared" si="2"/>
        <v>133280000</v>
      </c>
      <c r="E57" s="354">
        <f t="shared" si="3"/>
        <v>-146720000</v>
      </c>
      <c r="F57" s="139">
        <f t="shared" si="4"/>
        <v>465120000</v>
      </c>
      <c r="G57" s="354">
        <f t="shared" si="5"/>
        <v>185120000</v>
      </c>
      <c r="H57" s="62">
        <f>(C57+(C47*34))/34</f>
        <v>16315294.117647059</v>
      </c>
      <c r="I57" s="751">
        <f>H57/F47</f>
        <v>0.74978373702422152</v>
      </c>
    </row>
    <row r="58" spans="1:12">
      <c r="A58" s="819"/>
      <c r="B58" s="213" t="s">
        <v>478</v>
      </c>
      <c r="C58" s="149"/>
      <c r="D58" s="139">
        <f t="shared" si="2"/>
        <v>133280000</v>
      </c>
      <c r="E58" s="355">
        <f t="shared" si="3"/>
        <v>133280000</v>
      </c>
      <c r="F58" s="139">
        <f t="shared" si="4"/>
        <v>-274720000</v>
      </c>
      <c r="G58" s="354">
        <f t="shared" si="5"/>
        <v>-274720000</v>
      </c>
      <c r="H58" s="739"/>
      <c r="I58" s="140"/>
    </row>
    <row r="59" spans="1:12" ht="16.5" thickBot="1">
      <c r="A59" s="820"/>
      <c r="B59" s="175" t="s">
        <v>437</v>
      </c>
      <c r="C59" s="178" t="s">
        <v>649</v>
      </c>
      <c r="D59" s="179">
        <f t="shared" si="2"/>
        <v>74150000</v>
      </c>
      <c r="E59" s="368" t="e">
        <f t="shared" si="3"/>
        <v>#VALUE!</v>
      </c>
      <c r="F59" s="179">
        <f t="shared" si="4"/>
        <v>-225850000</v>
      </c>
      <c r="G59" s="368" t="e">
        <f t="shared" si="5"/>
        <v>#VALUE!</v>
      </c>
      <c r="H59" s="740"/>
      <c r="I59" s="180"/>
    </row>
    <row r="60" spans="1:12" ht="4" customHeight="1" thickBot="1">
      <c r="A60" s="630"/>
      <c r="B60" s="560"/>
      <c r="C60" s="561"/>
      <c r="D60" s="370"/>
      <c r="E60" s="629"/>
      <c r="F60" s="370"/>
      <c r="G60" s="629"/>
    </row>
    <row r="61" spans="1:12" s="1" customFormat="1">
      <c r="A61" s="833" t="s">
        <v>598</v>
      </c>
      <c r="B61" s="243" t="s">
        <v>599</v>
      </c>
      <c r="C61" s="242" t="s">
        <v>660</v>
      </c>
      <c r="D61" s="815" t="s">
        <v>600</v>
      </c>
      <c r="E61" s="816"/>
      <c r="F61" s="816"/>
      <c r="G61" s="816"/>
      <c r="H61" s="817"/>
      <c r="J61" s="5"/>
      <c r="K61" s="5"/>
      <c r="L61" s="5"/>
    </row>
    <row r="62" spans="1:12" s="1" customFormat="1" ht="17">
      <c r="A62" s="834"/>
      <c r="B62" s="488" t="s">
        <v>612</v>
      </c>
      <c r="C62" s="625"/>
      <c r="D62" s="491"/>
      <c r="H62" s="42"/>
      <c r="J62" s="509"/>
      <c r="K62" s="509"/>
      <c r="L62" s="509"/>
    </row>
    <row r="63" spans="1:12" s="1" customFormat="1" ht="17">
      <c r="A63" s="834"/>
      <c r="B63" s="165" t="s">
        <v>596</v>
      </c>
      <c r="C63" s="625">
        <v>850</v>
      </c>
      <c r="D63" s="492"/>
      <c r="H63" s="42"/>
      <c r="J63" s="509"/>
      <c r="K63" s="509"/>
      <c r="L63" s="509"/>
    </row>
    <row r="64" spans="1:12" s="1" customFormat="1">
      <c r="A64" s="834"/>
      <c r="B64" s="165" t="s">
        <v>597</v>
      </c>
      <c r="C64" s="626">
        <v>910</v>
      </c>
      <c r="D64" s="492"/>
      <c r="H64" s="42"/>
    </row>
    <row r="65" spans="1:8" s="1" customFormat="1">
      <c r="A65" s="835"/>
      <c r="B65" s="165" t="s">
        <v>601</v>
      </c>
      <c r="C65" s="627">
        <v>1100</v>
      </c>
      <c r="D65" s="492"/>
      <c r="H65" s="42"/>
    </row>
    <row r="66" spans="1:8" s="1" customFormat="1">
      <c r="A66" s="835"/>
      <c r="B66" s="165" t="s">
        <v>602</v>
      </c>
      <c r="C66" s="627">
        <v>1250</v>
      </c>
      <c r="D66" s="492"/>
      <c r="H66" s="42"/>
    </row>
    <row r="67" spans="1:8" s="1" customFormat="1">
      <c r="A67" s="835"/>
      <c r="B67" s="165" t="s">
        <v>603</v>
      </c>
      <c r="C67" s="627">
        <v>1500</v>
      </c>
      <c r="D67" s="492"/>
      <c r="H67" s="42"/>
    </row>
    <row r="68" spans="1:8" s="1" customFormat="1">
      <c r="A68" s="835"/>
      <c r="B68" s="165" t="s">
        <v>604</v>
      </c>
      <c r="C68" s="627">
        <v>1661</v>
      </c>
      <c r="D68" s="492"/>
      <c r="H68" s="42"/>
    </row>
    <row r="69" spans="1:8" s="1" customFormat="1">
      <c r="A69" s="835"/>
      <c r="B69" s="165" t="s">
        <v>1458</v>
      </c>
      <c r="C69" s="627">
        <f>H57/10000</f>
        <v>1631.5294117647059</v>
      </c>
      <c r="D69" s="492"/>
      <c r="H69" s="42"/>
    </row>
    <row r="70" spans="1:8" s="1" customFormat="1">
      <c r="A70" s="835"/>
      <c r="B70" s="165" t="s">
        <v>1459</v>
      </c>
      <c r="C70" s="627"/>
      <c r="D70" s="492"/>
      <c r="H70" s="42"/>
    </row>
    <row r="71" spans="1:8" s="1" customFormat="1">
      <c r="A71" s="835"/>
      <c r="B71" s="165" t="s">
        <v>1460</v>
      </c>
      <c r="C71" s="627"/>
      <c r="D71" s="492"/>
      <c r="H71" s="42"/>
    </row>
    <row r="72" spans="1:8" s="1" customFormat="1" ht="16.5" thickBot="1">
      <c r="A72" s="836"/>
      <c r="B72" s="157" t="s">
        <v>849</v>
      </c>
      <c r="C72" s="628"/>
      <c r="D72" s="631"/>
      <c r="E72" s="486"/>
      <c r="F72" s="486"/>
      <c r="G72" s="486"/>
      <c r="H72" s="487"/>
    </row>
    <row r="73" spans="1:8" ht="4" customHeight="1" thickBot="1">
      <c r="A73" s="573"/>
      <c r="B73" s="560"/>
      <c r="C73" s="561"/>
      <c r="D73" s="370"/>
      <c r="E73" s="562"/>
      <c r="F73" s="370"/>
      <c r="G73" s="562"/>
      <c r="H73" s="114"/>
    </row>
    <row r="74" spans="1:8" ht="17">
      <c r="A74" s="826" t="s">
        <v>650</v>
      </c>
      <c r="B74" s="564" t="s">
        <v>1158</v>
      </c>
      <c r="C74" s="565"/>
      <c r="D74" s="566"/>
      <c r="E74" s="559"/>
      <c r="F74" s="559"/>
      <c r="G74" s="559"/>
      <c r="H74" s="567"/>
    </row>
    <row r="75" spans="1:8" ht="15" customHeight="1">
      <c r="A75" s="827"/>
      <c r="B75" s="206" t="s">
        <v>652</v>
      </c>
      <c r="H75" s="114"/>
    </row>
    <row r="76" spans="1:8" ht="15" customHeight="1">
      <c r="A76" s="827"/>
      <c r="B76" s="206" t="s">
        <v>658</v>
      </c>
      <c r="H76" s="114"/>
    </row>
    <row r="77" spans="1:8" ht="15" customHeight="1">
      <c r="A77" s="827"/>
      <c r="B77" s="206" t="s">
        <v>653</v>
      </c>
      <c r="H77" s="114"/>
    </row>
    <row r="78" spans="1:8" ht="15" customHeight="1">
      <c r="A78" s="827"/>
      <c r="B78" s="206" t="s">
        <v>654</v>
      </c>
      <c r="H78" s="114"/>
    </row>
    <row r="79" spans="1:8">
      <c r="A79" s="827"/>
      <c r="B79" s="206" t="s">
        <v>657</v>
      </c>
      <c r="H79" s="114"/>
    </row>
    <row r="80" spans="1:8">
      <c r="A80" s="827"/>
      <c r="B80" s="206" t="s">
        <v>655</v>
      </c>
      <c r="H80" s="114"/>
    </row>
    <row r="81" spans="1:8">
      <c r="A81" s="827"/>
      <c r="B81" s="206" t="s">
        <v>656</v>
      </c>
      <c r="H81" s="114"/>
    </row>
    <row r="82" spans="1:8">
      <c r="A82" s="827"/>
      <c r="B82" s="206" t="s">
        <v>1157</v>
      </c>
      <c r="H82" s="114"/>
    </row>
    <row r="83" spans="1:8" ht="16.5" thickBot="1">
      <c r="A83" s="828"/>
      <c r="B83" s="568" t="s">
        <v>1156</v>
      </c>
      <c r="C83" s="569"/>
      <c r="D83" s="570"/>
      <c r="E83" s="571"/>
      <c r="F83" s="571"/>
      <c r="G83" s="571"/>
      <c r="H83" s="572"/>
    </row>
    <row r="84" spans="1:8">
      <c r="B84" s="206"/>
    </row>
    <row r="85" spans="1:8">
      <c r="B85" s="206"/>
    </row>
  </sheetData>
  <mergeCells count="19">
    <mergeCell ref="F14:G14"/>
    <mergeCell ref="F15:H15"/>
    <mergeCell ref="A1:H1"/>
    <mergeCell ref="A2:A17"/>
    <mergeCell ref="D7:E7"/>
    <mergeCell ref="G7:H7"/>
    <mergeCell ref="C5:D5"/>
    <mergeCell ref="C6:D6"/>
    <mergeCell ref="F10:H10"/>
    <mergeCell ref="C3:H3"/>
    <mergeCell ref="C2:H2"/>
    <mergeCell ref="I51:I56"/>
    <mergeCell ref="D61:H61"/>
    <mergeCell ref="A74:A83"/>
    <mergeCell ref="A51:A59"/>
    <mergeCell ref="A19:A27"/>
    <mergeCell ref="A29:A39"/>
    <mergeCell ref="A41:A49"/>
    <mergeCell ref="A61:A72"/>
  </mergeCells>
  <phoneticPr fontId="16" type="noConversion"/>
  <pageMargins left="0.69972223043441772" right="0.69972223043441772" top="0.75" bottom="0.75" header="0.30000001192092896" footer="0.30000001192092896"/>
  <pageSetup paperSize="9" scale="51" orientation="portrait" horizontalDpi="4294967293" verticalDpi="4294967293" r:id="rId1"/>
  <rowBreaks count="2" manualBreakCount="2">
    <brk id="76" max="1048575" man="1"/>
    <brk id="89" max="1048575" man="1"/>
  </rowBreaks>
  <colBreaks count="1" manualBreakCount="1">
    <brk id="17" max="16383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0000"/>
  </sheetPr>
  <dimension ref="A1:L82"/>
  <sheetViews>
    <sheetView showGridLines="0" topLeftCell="A51" zoomScale="70" zoomScaleNormal="70" zoomScaleSheetLayoutView="70" workbookViewId="0">
      <selection activeCell="C54" sqref="C54"/>
    </sheetView>
  </sheetViews>
  <sheetFormatPr defaultColWidth="13.4140625" defaultRowHeight="16"/>
  <cols>
    <col min="1" max="1" width="4.9140625" style="1" customWidth="1"/>
    <col min="2" max="2" width="17.5" style="2" bestFit="1" customWidth="1"/>
    <col min="3" max="3" width="26.25" style="3" bestFit="1" customWidth="1"/>
    <col min="4" max="4" width="19.6640625" style="4" customWidth="1"/>
    <col min="5" max="5" width="21.6640625" style="1" bestFit="1" customWidth="1"/>
    <col min="6" max="6" width="18.6640625" style="1" customWidth="1"/>
    <col min="7" max="7" width="18.08203125" style="1" bestFit="1" customWidth="1"/>
    <col min="8" max="8" width="15.83203125" style="1" bestFit="1" customWidth="1"/>
    <col min="9" max="9" width="27.25" style="1" bestFit="1" customWidth="1"/>
    <col min="10" max="10" width="15.83203125" style="1" bestFit="1" customWidth="1"/>
    <col min="11" max="16384" width="13.4140625" style="1"/>
  </cols>
  <sheetData>
    <row r="1" spans="1:8" ht="31.5" customHeight="1">
      <c r="A1" s="872" t="s">
        <v>176</v>
      </c>
      <c r="B1" s="873"/>
      <c r="C1" s="873"/>
      <c r="D1" s="873"/>
      <c r="E1" s="873"/>
      <c r="F1" s="873"/>
      <c r="G1" s="873"/>
      <c r="H1" s="874"/>
    </row>
    <row r="2" spans="1:8">
      <c r="A2" s="875" t="s">
        <v>112</v>
      </c>
      <c r="B2" s="6" t="s">
        <v>420</v>
      </c>
      <c r="C2" s="7" t="s">
        <v>679</v>
      </c>
      <c r="D2" s="8"/>
      <c r="E2" s="9"/>
      <c r="F2" s="9"/>
      <c r="G2" s="9"/>
      <c r="H2" s="10"/>
    </row>
    <row r="3" spans="1:8">
      <c r="A3" s="876"/>
      <c r="B3" s="11" t="s">
        <v>471</v>
      </c>
      <c r="C3" s="12" t="s">
        <v>265</v>
      </c>
      <c r="D3" s="13"/>
      <c r="E3" s="14"/>
      <c r="F3" s="14"/>
      <c r="G3" s="14"/>
      <c r="H3" s="15"/>
    </row>
    <row r="4" spans="1:8">
      <c r="A4" s="876"/>
      <c r="B4" s="11" t="s">
        <v>407</v>
      </c>
      <c r="C4" s="856" t="s">
        <v>232</v>
      </c>
      <c r="D4" s="857"/>
      <c r="E4" s="548" t="s">
        <v>644</v>
      </c>
      <c r="F4" s="529">
        <v>4500000</v>
      </c>
      <c r="G4" s="14"/>
      <c r="H4" s="15"/>
    </row>
    <row r="5" spans="1:8" ht="31.75" customHeight="1">
      <c r="A5" s="827"/>
      <c r="B5" s="16" t="s">
        <v>626</v>
      </c>
      <c r="C5" s="17">
        <v>252527</v>
      </c>
      <c r="D5" s="882" t="s">
        <v>624</v>
      </c>
      <c r="E5" s="859"/>
      <c r="F5" s="250">
        <f>C5*0.3025/C7</f>
        <v>41.224726119805716</v>
      </c>
      <c r="G5" s="858" t="s">
        <v>522</v>
      </c>
      <c r="H5" s="883"/>
    </row>
    <row r="6" spans="1:8">
      <c r="A6" s="827"/>
      <c r="B6" s="16" t="s">
        <v>425</v>
      </c>
      <c r="C6" s="17">
        <v>28</v>
      </c>
      <c r="D6" s="544" t="s">
        <v>627</v>
      </c>
      <c r="E6" s="530"/>
      <c r="F6" s="538" t="s">
        <v>628</v>
      </c>
      <c r="G6" s="884">
        <f>C5-E6</f>
        <v>252527</v>
      </c>
      <c r="H6" s="885"/>
    </row>
    <row r="7" spans="1:8">
      <c r="A7" s="827"/>
      <c r="B7" s="16" t="s">
        <v>121</v>
      </c>
      <c r="C7" s="17">
        <v>1853</v>
      </c>
      <c r="D7" s="21" t="s">
        <v>39</v>
      </c>
      <c r="E7" s="251">
        <f>C7/C9</f>
        <v>0.4128787878787879</v>
      </c>
      <c r="F7" s="18"/>
      <c r="G7" s="19"/>
      <c r="H7" s="20"/>
    </row>
    <row r="8" spans="1:8">
      <c r="A8" s="827"/>
      <c r="B8" s="16" t="s">
        <v>54</v>
      </c>
      <c r="C8" s="249">
        <f>C9-C7</f>
        <v>2635</v>
      </c>
      <c r="D8" s="21" t="s">
        <v>145</v>
      </c>
      <c r="E8" s="251">
        <f>C8/C9</f>
        <v>0.58712121212121215</v>
      </c>
      <c r="F8" s="863" t="s">
        <v>29</v>
      </c>
      <c r="G8" s="864"/>
      <c r="H8" s="865"/>
    </row>
    <row r="9" spans="1:8">
      <c r="A9" s="827"/>
      <c r="B9" s="16" t="s">
        <v>125</v>
      </c>
      <c r="C9" s="17">
        <v>4488</v>
      </c>
      <c r="D9" s="378" t="s">
        <v>525</v>
      </c>
      <c r="E9" s="19"/>
      <c r="F9" s="19"/>
      <c r="G9" s="19"/>
      <c r="H9" s="20"/>
    </row>
    <row r="10" spans="1:8">
      <c r="A10" s="827"/>
      <c r="B10" s="16" t="s">
        <v>427</v>
      </c>
      <c r="C10" s="24">
        <v>0.16020000000000001</v>
      </c>
      <c r="D10" s="551" t="s">
        <v>84</v>
      </c>
      <c r="E10" s="545">
        <f>G6*C10</f>
        <v>40454.825400000002</v>
      </c>
      <c r="F10" s="544" t="s">
        <v>41</v>
      </c>
      <c r="G10" s="541">
        <f>E11/E10</f>
        <v>15.648564294631708</v>
      </c>
      <c r="H10" s="29"/>
    </row>
    <row r="11" spans="1:8">
      <c r="A11" s="827"/>
      <c r="B11" s="16" t="s">
        <v>466</v>
      </c>
      <c r="C11" s="24">
        <v>2.5068999999999999</v>
      </c>
      <c r="D11" s="551" t="s">
        <v>631</v>
      </c>
      <c r="E11" s="546">
        <f>G6*C11</f>
        <v>633059.93629999994</v>
      </c>
      <c r="F11" s="544" t="s">
        <v>209</v>
      </c>
      <c r="G11" s="541">
        <f>E11*76%</f>
        <v>481125.55158799997</v>
      </c>
      <c r="H11" s="31"/>
    </row>
    <row r="12" spans="1:8" ht="32">
      <c r="A12" s="827"/>
      <c r="B12" s="16" t="s">
        <v>208</v>
      </c>
      <c r="C12" s="24" t="s">
        <v>625</v>
      </c>
      <c r="D12" s="550" t="s">
        <v>629</v>
      </c>
      <c r="E12" s="529" t="s">
        <v>714</v>
      </c>
      <c r="F12" s="542" t="s">
        <v>234</v>
      </c>
      <c r="G12" s="543">
        <f>G11/C38</f>
        <v>1.4075200807079644</v>
      </c>
      <c r="H12" s="55"/>
    </row>
    <row r="13" spans="1:8">
      <c r="A13" s="827"/>
      <c r="B13" s="16" t="s">
        <v>441</v>
      </c>
      <c r="C13" s="25" t="s">
        <v>678</v>
      </c>
      <c r="D13" s="544" t="s">
        <v>630</v>
      </c>
      <c r="E13" s="547" t="e">
        <f>C7*E12</f>
        <v>#VALUE!</v>
      </c>
      <c r="F13" s="540" t="s">
        <v>632</v>
      </c>
      <c r="G13" s="541">
        <f>E11*0.3025/F5</f>
        <v>4645.2857000000004</v>
      </c>
      <c r="H13" s="20"/>
    </row>
    <row r="14" spans="1:8">
      <c r="A14" s="827"/>
      <c r="B14" s="32" t="s">
        <v>641</v>
      </c>
      <c r="C14" s="33" t="s">
        <v>63</v>
      </c>
      <c r="D14" s="549" t="s">
        <v>633</v>
      </c>
      <c r="E14" s="530" t="s">
        <v>715</v>
      </c>
      <c r="F14" s="538" t="s">
        <v>645</v>
      </c>
      <c r="G14" s="539" t="e">
        <f>E14*G13</f>
        <v>#VALUE!</v>
      </c>
      <c r="H14" s="20"/>
    </row>
    <row r="15" spans="1:8" ht="3.65" customHeight="1" thickBot="1">
      <c r="A15" s="827"/>
      <c r="B15" s="516"/>
      <c r="C15" s="517"/>
      <c r="D15" s="518"/>
      <c r="E15" s="155"/>
      <c r="F15" s="514"/>
      <c r="G15" s="519"/>
      <c r="H15" s="156"/>
    </row>
    <row r="16" spans="1:8" ht="16.5" thickTop="1">
      <c r="A16" s="877"/>
      <c r="B16" s="520" t="s">
        <v>635</v>
      </c>
      <c r="C16" s="521" t="e">
        <f>E16+G16</f>
        <v>#VALUE!</v>
      </c>
      <c r="D16" s="522" t="s">
        <v>643</v>
      </c>
      <c r="E16" s="523" t="e">
        <f>G14*F4</f>
        <v>#VALUE!</v>
      </c>
      <c r="F16" s="524" t="s">
        <v>634</v>
      </c>
      <c r="G16" s="523" t="e">
        <f>E16*30%</f>
        <v>#VALUE!</v>
      </c>
      <c r="H16" s="525"/>
    </row>
    <row r="17" spans="1:11">
      <c r="A17" s="877"/>
      <c r="B17" s="526" t="s">
        <v>638</v>
      </c>
      <c r="C17" s="527" t="e">
        <f>(E17*C7)+(G17*C8)</f>
        <v>#VALUE!</v>
      </c>
      <c r="D17" s="528" t="s">
        <v>636</v>
      </c>
      <c r="E17" s="529" t="s">
        <v>715</v>
      </c>
      <c r="F17" s="530" t="s">
        <v>637</v>
      </c>
      <c r="G17" s="529" t="s">
        <v>715</v>
      </c>
      <c r="H17" s="531"/>
    </row>
    <row r="18" spans="1:11" ht="32.5" thickBot="1">
      <c r="A18" s="877"/>
      <c r="B18" s="532" t="s">
        <v>642</v>
      </c>
      <c r="C18" s="533" t="e">
        <f>E18/E13</f>
        <v>#VALUE!</v>
      </c>
      <c r="D18" s="534" t="s">
        <v>639</v>
      </c>
      <c r="E18" s="535" t="e">
        <f>C17-C16</f>
        <v>#VALUE!</v>
      </c>
      <c r="F18" s="536" t="s">
        <v>640</v>
      </c>
      <c r="G18" s="535" t="e">
        <f>E18/C7</f>
        <v>#VALUE!</v>
      </c>
      <c r="H18" s="537"/>
    </row>
    <row r="19" spans="1:11" ht="5.25" customHeight="1" thickTop="1" thickBot="1">
      <c r="A19" s="39"/>
      <c r="B19" s="515"/>
      <c r="C19" s="41"/>
      <c r="D19" s="41"/>
      <c r="H19" s="42"/>
    </row>
    <row r="20" spans="1:11">
      <c r="A20" s="875" t="s">
        <v>49</v>
      </c>
      <c r="B20" s="43" t="s">
        <v>81</v>
      </c>
      <c r="C20" s="44" t="s">
        <v>361</v>
      </c>
      <c r="D20" s="45"/>
      <c r="E20" s="9"/>
      <c r="F20" s="9"/>
      <c r="G20" s="9"/>
      <c r="H20" s="10"/>
    </row>
    <row r="21" spans="1:11">
      <c r="A21" s="827"/>
      <c r="B21" s="25" t="s">
        <v>147</v>
      </c>
      <c r="C21" s="46" t="s">
        <v>371</v>
      </c>
      <c r="D21" s="47"/>
      <c r="E21" s="19"/>
      <c r="F21" s="19"/>
      <c r="G21" s="19"/>
      <c r="H21" s="20"/>
    </row>
    <row r="22" spans="1:11">
      <c r="A22" s="827"/>
      <c r="B22" s="25" t="s">
        <v>98</v>
      </c>
      <c r="C22" s="46" t="s">
        <v>353</v>
      </c>
      <c r="D22" s="47"/>
      <c r="E22" s="19"/>
      <c r="F22" s="19"/>
      <c r="G22" s="19"/>
      <c r="H22" s="20"/>
    </row>
    <row r="23" spans="1:11">
      <c r="A23" s="827"/>
      <c r="B23" s="25" t="s">
        <v>73</v>
      </c>
      <c r="C23" s="25" t="s">
        <v>544</v>
      </c>
      <c r="D23" s="23"/>
      <c r="E23" s="19"/>
      <c r="F23" s="19"/>
      <c r="G23" s="19"/>
      <c r="H23" s="20"/>
    </row>
    <row r="24" spans="1:11">
      <c r="A24" s="827"/>
      <c r="B24" s="25" t="s">
        <v>452</v>
      </c>
      <c r="C24" s="25" t="s">
        <v>680</v>
      </c>
      <c r="D24" s="23"/>
      <c r="E24" s="19"/>
      <c r="F24" s="19"/>
      <c r="G24" s="19"/>
      <c r="H24" s="20"/>
    </row>
    <row r="25" spans="1:11">
      <c r="A25" s="827"/>
      <c r="B25" s="25" t="s">
        <v>445</v>
      </c>
      <c r="C25" s="25" t="s">
        <v>1380</v>
      </c>
      <c r="D25" s="23"/>
      <c r="E25" s="19"/>
      <c r="F25" s="19"/>
      <c r="G25" s="19"/>
      <c r="H25" s="20"/>
    </row>
    <row r="26" spans="1:11">
      <c r="A26" s="827"/>
      <c r="B26" s="25" t="s">
        <v>167</v>
      </c>
      <c r="C26" s="25" t="s">
        <v>259</v>
      </c>
      <c r="D26" s="23"/>
      <c r="E26" s="19"/>
      <c r="F26" s="19"/>
      <c r="G26" s="19"/>
      <c r="H26" s="20"/>
    </row>
    <row r="27" spans="1:11">
      <c r="A27" s="828"/>
      <c r="B27" s="35" t="s">
        <v>447</v>
      </c>
      <c r="C27" s="35" t="s">
        <v>659</v>
      </c>
      <c r="D27" s="48"/>
      <c r="E27" s="37"/>
      <c r="F27" s="37"/>
      <c r="G27" s="37"/>
      <c r="H27" s="38"/>
    </row>
    <row r="28" spans="1:11" ht="5.25" customHeight="1" thickBot="1">
      <c r="A28" s="39"/>
      <c r="B28" s="40"/>
      <c r="H28" s="42"/>
    </row>
    <row r="29" spans="1:11" s="5" customFormat="1">
      <c r="A29" s="875" t="s">
        <v>160</v>
      </c>
      <c r="B29" s="241" t="s">
        <v>101</v>
      </c>
      <c r="C29" s="242" t="s">
        <v>48</v>
      </c>
      <c r="D29" s="243" t="s">
        <v>125</v>
      </c>
      <c r="E29" s="243" t="s">
        <v>429</v>
      </c>
      <c r="F29" s="243" t="s">
        <v>444</v>
      </c>
      <c r="G29" s="243" t="s">
        <v>439</v>
      </c>
      <c r="H29" s="369" t="s">
        <v>454</v>
      </c>
      <c r="I29" s="27" t="s">
        <v>526</v>
      </c>
      <c r="J29" s="27" t="s">
        <v>527</v>
      </c>
      <c r="K29" s="27" t="s">
        <v>528</v>
      </c>
    </row>
    <row r="30" spans="1:11">
      <c r="A30" s="827"/>
      <c r="B30" s="16" t="s">
        <v>317</v>
      </c>
      <c r="C30" s="53">
        <f>38*D30</f>
        <v>9044</v>
      </c>
      <c r="D30" s="17">
        <f>E30+F30+G30</f>
        <v>238</v>
      </c>
      <c r="E30" s="54"/>
      <c r="F30" s="54"/>
      <c r="G30" s="54">
        <v>238</v>
      </c>
      <c r="H30" s="167">
        <f t="shared" ref="H30:H37" si="0">D30/$D$38</f>
        <v>5.3030303030303032E-2</v>
      </c>
      <c r="I30" s="54"/>
      <c r="J30" s="54"/>
      <c r="K30" s="54"/>
    </row>
    <row r="31" spans="1:11">
      <c r="A31" s="827"/>
      <c r="B31" s="16" t="s">
        <v>88</v>
      </c>
      <c r="C31" s="53">
        <f>59*D31</f>
        <v>57702</v>
      </c>
      <c r="D31" s="17">
        <f t="shared" ref="D31:D37" si="1">E31+F31+G31</f>
        <v>978</v>
      </c>
      <c r="E31" s="54">
        <v>302</v>
      </c>
      <c r="F31" s="54">
        <v>676</v>
      </c>
      <c r="G31" s="54"/>
      <c r="H31" s="167">
        <f t="shared" si="0"/>
        <v>0.21791443850267381</v>
      </c>
      <c r="I31" s="54">
        <v>382</v>
      </c>
      <c r="J31" s="54">
        <v>592</v>
      </c>
      <c r="K31" s="54">
        <v>4</v>
      </c>
    </row>
    <row r="32" spans="1:11">
      <c r="A32" s="827"/>
      <c r="B32" s="16" t="s">
        <v>61</v>
      </c>
      <c r="C32" s="53">
        <f>59*D32</f>
        <v>14809</v>
      </c>
      <c r="D32" s="17">
        <f t="shared" si="1"/>
        <v>251</v>
      </c>
      <c r="E32" s="54">
        <v>84</v>
      </c>
      <c r="F32" s="54">
        <v>167</v>
      </c>
      <c r="G32" s="54"/>
      <c r="H32" s="167">
        <f t="shared" si="0"/>
        <v>5.5926916221033865E-2</v>
      </c>
      <c r="I32" s="54">
        <v>16</v>
      </c>
      <c r="J32" s="54">
        <v>233</v>
      </c>
      <c r="K32" s="54">
        <v>2</v>
      </c>
    </row>
    <row r="33" spans="1:11">
      <c r="A33" s="827"/>
      <c r="B33" s="16" t="s">
        <v>193</v>
      </c>
      <c r="C33" s="53">
        <f>84*D33</f>
        <v>178752</v>
      </c>
      <c r="D33" s="17">
        <f t="shared" si="1"/>
        <v>2128</v>
      </c>
      <c r="E33" s="54">
        <v>820</v>
      </c>
      <c r="F33" s="54">
        <v>1308</v>
      </c>
      <c r="G33" s="54"/>
      <c r="H33" s="167">
        <f t="shared" si="0"/>
        <v>0.47415329768270947</v>
      </c>
      <c r="I33" s="54">
        <v>1064</v>
      </c>
      <c r="J33" s="54">
        <v>1056</v>
      </c>
      <c r="K33" s="54">
        <v>8</v>
      </c>
    </row>
    <row r="34" spans="1:11">
      <c r="A34" s="827"/>
      <c r="B34" s="16" t="s">
        <v>56</v>
      </c>
      <c r="C34" s="53">
        <f>84*D34</f>
        <v>44940</v>
      </c>
      <c r="D34" s="17">
        <f t="shared" si="1"/>
        <v>535</v>
      </c>
      <c r="E34" s="54">
        <v>145</v>
      </c>
      <c r="F34" s="54">
        <v>390</v>
      </c>
      <c r="G34" s="54"/>
      <c r="H34" s="167">
        <f t="shared" si="0"/>
        <v>0.11920677361853832</v>
      </c>
      <c r="I34" s="54">
        <v>36</v>
      </c>
      <c r="J34" s="54">
        <v>498</v>
      </c>
      <c r="K34" s="54">
        <v>3</v>
      </c>
    </row>
    <row r="35" spans="1:11">
      <c r="A35" s="827"/>
      <c r="B35" s="16" t="s">
        <v>93</v>
      </c>
      <c r="C35" s="53">
        <f>99*D35</f>
        <v>17820</v>
      </c>
      <c r="D35" s="17">
        <f t="shared" si="1"/>
        <v>180</v>
      </c>
      <c r="E35" s="54"/>
      <c r="F35" s="54">
        <v>180</v>
      </c>
      <c r="G35" s="54"/>
      <c r="H35" s="167">
        <f t="shared" si="0"/>
        <v>4.0106951871657755E-2</v>
      </c>
      <c r="I35" s="54">
        <v>179</v>
      </c>
      <c r="J35" s="54">
        <v>1</v>
      </c>
      <c r="K35" s="54"/>
    </row>
    <row r="36" spans="1:11">
      <c r="A36" s="827"/>
      <c r="B36" s="16" t="s">
        <v>152</v>
      </c>
      <c r="C36" s="53">
        <f>99*D36</f>
        <v>10593</v>
      </c>
      <c r="D36" s="17">
        <f t="shared" si="1"/>
        <v>107</v>
      </c>
      <c r="E36" s="54"/>
      <c r="F36" s="54">
        <v>107</v>
      </c>
      <c r="G36" s="54"/>
      <c r="H36" s="167">
        <f t="shared" si="0"/>
        <v>2.3841354723707665E-2</v>
      </c>
      <c r="I36" s="54">
        <v>105</v>
      </c>
      <c r="J36" s="54">
        <v>2</v>
      </c>
      <c r="K36" s="54"/>
    </row>
    <row r="37" spans="1:11">
      <c r="A37" s="827"/>
      <c r="B37" s="16" t="s">
        <v>114</v>
      </c>
      <c r="C37" s="53">
        <f>115*D37</f>
        <v>8165</v>
      </c>
      <c r="D37" s="17">
        <f t="shared" si="1"/>
        <v>71</v>
      </c>
      <c r="E37" s="54"/>
      <c r="F37" s="54">
        <v>71</v>
      </c>
      <c r="G37" s="54"/>
      <c r="H37" s="167">
        <f t="shared" si="0"/>
        <v>1.5819964349376114E-2</v>
      </c>
      <c r="I37" s="54">
        <v>71</v>
      </c>
      <c r="J37" s="54"/>
      <c r="K37" s="54"/>
    </row>
    <row r="38" spans="1:11" ht="16.5" thickBot="1">
      <c r="A38" s="828"/>
      <c r="B38" s="56" t="s">
        <v>462</v>
      </c>
      <c r="C38" s="57">
        <f t="shared" ref="C38:H38" si="2">SUM(C30:C37)</f>
        <v>341825</v>
      </c>
      <c r="D38" s="58">
        <f t="shared" si="2"/>
        <v>4488</v>
      </c>
      <c r="E38" s="59">
        <f t="shared" si="2"/>
        <v>1351</v>
      </c>
      <c r="F38" s="59">
        <f t="shared" si="2"/>
        <v>2899</v>
      </c>
      <c r="G38" s="59">
        <f t="shared" si="2"/>
        <v>238</v>
      </c>
      <c r="H38" s="168">
        <f t="shared" si="2"/>
        <v>1</v>
      </c>
      <c r="I38" s="160">
        <f>SUM(I30:I37)</f>
        <v>1853</v>
      </c>
      <c r="J38" s="160">
        <f>SUM(J30:J37)</f>
        <v>2382</v>
      </c>
      <c r="K38" s="160">
        <f>SUM(K30:K37)</f>
        <v>17</v>
      </c>
    </row>
    <row r="39" spans="1:11" ht="4.5" customHeight="1" thickBot="1">
      <c r="A39" s="39"/>
      <c r="B39" s="40"/>
      <c r="H39" s="42"/>
    </row>
    <row r="40" spans="1:11" s="2" customFormat="1">
      <c r="A40" s="879" t="s">
        <v>393</v>
      </c>
      <c r="B40" s="241" t="s">
        <v>101</v>
      </c>
      <c r="C40" s="243" t="s">
        <v>904</v>
      </c>
      <c r="D40" s="243" t="s">
        <v>905</v>
      </c>
      <c r="E40" s="243" t="s">
        <v>43</v>
      </c>
      <c r="F40" s="243" t="s">
        <v>906</v>
      </c>
      <c r="G40" s="245" t="s">
        <v>46</v>
      </c>
      <c r="H40" s="246" t="s">
        <v>470</v>
      </c>
    </row>
    <row r="41" spans="1:11" ht="16.5" customHeight="1">
      <c r="A41" s="880"/>
      <c r="B41" s="16" t="s">
        <v>317</v>
      </c>
      <c r="C41" s="62"/>
      <c r="D41" s="63"/>
      <c r="E41" s="252"/>
      <c r="F41" s="63"/>
      <c r="G41" s="252"/>
      <c r="H41" s="31"/>
    </row>
    <row r="42" spans="1:11" ht="16.5" customHeight="1">
      <c r="A42" s="880"/>
      <c r="B42" s="16" t="s">
        <v>88</v>
      </c>
      <c r="C42" s="62">
        <f>279489000/25</f>
        <v>11179560</v>
      </c>
      <c r="D42" s="63">
        <v>14000000</v>
      </c>
      <c r="E42" s="252">
        <f>(D42-C42)*25</f>
        <v>70511000</v>
      </c>
      <c r="F42" s="63"/>
      <c r="G42" s="252">
        <f>(F42-C42)*25</f>
        <v>-279489000</v>
      </c>
      <c r="H42" s="31"/>
    </row>
    <row r="43" spans="1:11" ht="16.5" customHeight="1">
      <c r="A43" s="880"/>
      <c r="B43" s="16" t="s">
        <v>61</v>
      </c>
      <c r="C43" s="62"/>
      <c r="D43" s="63"/>
      <c r="E43" s="252">
        <f>(D43-C43)*25</f>
        <v>0</v>
      </c>
      <c r="F43" s="63"/>
      <c r="G43" s="252">
        <f>(F43-C43)*25</f>
        <v>0</v>
      </c>
      <c r="H43" s="31"/>
    </row>
    <row r="44" spans="1:11" ht="16.5" customHeight="1">
      <c r="A44" s="880"/>
      <c r="B44" s="16" t="s">
        <v>193</v>
      </c>
      <c r="C44" s="724">
        <f>357583000/34</f>
        <v>10517147.05882353</v>
      </c>
      <c r="D44" s="63">
        <v>16000000</v>
      </c>
      <c r="E44" s="252">
        <f>(D44-C44)*34</f>
        <v>186417000</v>
      </c>
      <c r="F44" s="727">
        <v>26670000</v>
      </c>
      <c r="G44" s="252">
        <f>(F44-C44)*34</f>
        <v>549197000</v>
      </c>
      <c r="H44" s="31" t="s">
        <v>1383</v>
      </c>
    </row>
    <row r="45" spans="1:11" ht="16.5" customHeight="1">
      <c r="A45" s="880"/>
      <c r="B45" s="16" t="s">
        <v>56</v>
      </c>
      <c r="C45" s="62"/>
      <c r="D45" s="63"/>
      <c r="E45" s="252">
        <f>(D45-C45)*34</f>
        <v>0</v>
      </c>
      <c r="F45" s="63"/>
      <c r="G45" s="252">
        <f>(F45-C45)*34</f>
        <v>0</v>
      </c>
      <c r="H45" s="31"/>
    </row>
    <row r="46" spans="1:11" ht="16.5" customHeight="1">
      <c r="A46" s="880"/>
      <c r="B46" s="16" t="s">
        <v>93</v>
      </c>
      <c r="C46" s="62">
        <f>402093000/38</f>
        <v>10581394.736842105</v>
      </c>
      <c r="D46" s="63">
        <v>14000000</v>
      </c>
      <c r="E46" s="252">
        <f>(D46-C46)*39</f>
        <v>133325605.2631579</v>
      </c>
      <c r="F46" s="63"/>
      <c r="G46" s="252">
        <f>(F46-C46)*39</f>
        <v>-412674394.7368421</v>
      </c>
      <c r="H46" s="31"/>
      <c r="J46" s="69"/>
    </row>
    <row r="47" spans="1:11" ht="16.5" customHeight="1">
      <c r="A47" s="880"/>
      <c r="B47" s="16" t="s">
        <v>152</v>
      </c>
      <c r="C47" s="62"/>
      <c r="D47" s="63"/>
      <c r="E47" s="252">
        <f>(D47-C47)*39</f>
        <v>0</v>
      </c>
      <c r="F47" s="63"/>
      <c r="G47" s="252">
        <f>(F47-C47)*39</f>
        <v>0</v>
      </c>
      <c r="H47" s="31"/>
    </row>
    <row r="48" spans="1:11" ht="16.5" customHeight="1" thickBot="1">
      <c r="A48" s="881"/>
      <c r="B48" s="56" t="s">
        <v>71</v>
      </c>
      <c r="C48" s="64">
        <f>453574000/44</f>
        <v>10308500</v>
      </c>
      <c r="D48" s="65">
        <v>14000000</v>
      </c>
      <c r="E48" s="252">
        <f>(D48-C48)*39</f>
        <v>143968500</v>
      </c>
      <c r="F48" s="63"/>
      <c r="G48" s="252">
        <f>(F48-C48)*39</f>
        <v>-402031500</v>
      </c>
      <c r="H48" s="66"/>
    </row>
    <row r="49" spans="1:12" ht="5.25" customHeight="1" thickBot="1">
      <c r="A49" s="67"/>
      <c r="B49" s="143"/>
      <c r="C49" s="68"/>
      <c r="D49" s="69"/>
      <c r="E49" s="69"/>
      <c r="F49" s="69"/>
      <c r="G49" s="69"/>
    </row>
    <row r="50" spans="1:12" ht="58">
      <c r="A50" s="833" t="s">
        <v>257</v>
      </c>
      <c r="B50" s="243" t="s">
        <v>101</v>
      </c>
      <c r="C50" s="508" t="s">
        <v>1395</v>
      </c>
      <c r="D50" s="247" t="s">
        <v>247</v>
      </c>
      <c r="E50" s="247" t="s">
        <v>322</v>
      </c>
      <c r="F50" s="247" t="s">
        <v>222</v>
      </c>
      <c r="G50" s="247" t="s">
        <v>367</v>
      </c>
      <c r="H50" s="243" t="s">
        <v>1135</v>
      </c>
      <c r="I50" s="824" t="s">
        <v>1207</v>
      </c>
      <c r="J50" s="69"/>
    </row>
    <row r="51" spans="1:12" ht="15" customHeight="1">
      <c r="A51" s="878"/>
      <c r="B51" s="25" t="s">
        <v>264</v>
      </c>
      <c r="C51" s="71" t="s">
        <v>436</v>
      </c>
      <c r="D51" s="62">
        <f t="shared" ref="D51:D58" si="3">E41</f>
        <v>0</v>
      </c>
      <c r="E51" s="253" t="e">
        <f t="shared" ref="E51:E58" si="4">D51-C51</f>
        <v>#VALUE!</v>
      </c>
      <c r="F51" s="62">
        <f t="shared" ref="F51:F58" si="5">G41</f>
        <v>0</v>
      </c>
      <c r="G51" s="253" t="e">
        <f t="shared" ref="G51:G58" si="6">F51-C51</f>
        <v>#VALUE!</v>
      </c>
      <c r="H51" s="62"/>
      <c r="I51" s="825"/>
      <c r="J51" s="69"/>
    </row>
    <row r="52" spans="1:12">
      <c r="A52" s="834"/>
      <c r="B52" s="25" t="s">
        <v>37</v>
      </c>
      <c r="C52" s="71"/>
      <c r="D52" s="62">
        <f t="shared" si="3"/>
        <v>70511000</v>
      </c>
      <c r="E52" s="253">
        <f t="shared" si="4"/>
        <v>70511000</v>
      </c>
      <c r="F52" s="62">
        <f t="shared" si="5"/>
        <v>-279489000</v>
      </c>
      <c r="G52" s="253">
        <f t="shared" si="6"/>
        <v>-279489000</v>
      </c>
      <c r="H52" s="62"/>
      <c r="I52" s="825"/>
      <c r="J52" s="69"/>
    </row>
    <row r="53" spans="1:12">
      <c r="A53" s="834"/>
      <c r="B53" s="25" t="s">
        <v>103</v>
      </c>
      <c r="C53" s="71" t="s">
        <v>436</v>
      </c>
      <c r="D53" s="62">
        <f t="shared" si="3"/>
        <v>0</v>
      </c>
      <c r="E53" s="253" t="e">
        <f t="shared" si="4"/>
        <v>#VALUE!</v>
      </c>
      <c r="F53" s="62">
        <f t="shared" si="5"/>
        <v>0</v>
      </c>
      <c r="G53" s="253" t="e">
        <f t="shared" si="6"/>
        <v>#VALUE!</v>
      </c>
      <c r="H53" s="62"/>
      <c r="I53" s="825"/>
    </row>
    <row r="54" spans="1:12" ht="17">
      <c r="A54" s="834"/>
      <c r="B54" s="25" t="s">
        <v>86</v>
      </c>
      <c r="C54" s="71">
        <v>650000000</v>
      </c>
      <c r="D54" s="62">
        <f>E44</f>
        <v>186417000</v>
      </c>
      <c r="E54" s="253">
        <f t="shared" si="4"/>
        <v>-463583000</v>
      </c>
      <c r="F54" s="62">
        <f t="shared" si="5"/>
        <v>549197000</v>
      </c>
      <c r="G54" s="253">
        <f t="shared" si="6"/>
        <v>-100803000</v>
      </c>
      <c r="H54" s="62">
        <f>(C54+(C44*34))/34</f>
        <v>29634794.117647059</v>
      </c>
      <c r="I54" s="751">
        <f>H54/F44</f>
        <v>1.1111658836763052</v>
      </c>
    </row>
    <row r="55" spans="1:12">
      <c r="A55" s="834"/>
      <c r="B55" s="25" t="s">
        <v>155</v>
      </c>
      <c r="C55" s="71" t="s">
        <v>436</v>
      </c>
      <c r="D55" s="62">
        <f t="shared" si="3"/>
        <v>0</v>
      </c>
      <c r="E55" s="253" t="e">
        <f t="shared" si="4"/>
        <v>#VALUE!</v>
      </c>
      <c r="F55" s="62">
        <f t="shared" si="5"/>
        <v>0</v>
      </c>
      <c r="G55" s="253" t="e">
        <f t="shared" si="6"/>
        <v>#VALUE!</v>
      </c>
      <c r="H55" s="62"/>
      <c r="I55" s="31"/>
    </row>
    <row r="56" spans="1:12">
      <c r="A56" s="834"/>
      <c r="B56" s="25" t="s">
        <v>129</v>
      </c>
      <c r="C56" s="71"/>
      <c r="D56" s="62">
        <f t="shared" si="3"/>
        <v>133325605.2631579</v>
      </c>
      <c r="E56" s="253">
        <f t="shared" si="4"/>
        <v>133325605.2631579</v>
      </c>
      <c r="F56" s="62">
        <f t="shared" si="5"/>
        <v>-412674394.7368421</v>
      </c>
      <c r="G56" s="253">
        <f t="shared" si="6"/>
        <v>-412674394.7368421</v>
      </c>
      <c r="H56" s="62"/>
      <c r="I56" s="31"/>
    </row>
    <row r="57" spans="1:12">
      <c r="A57" s="834"/>
      <c r="B57" s="25" t="s">
        <v>132</v>
      </c>
      <c r="C57" s="71" t="s">
        <v>436</v>
      </c>
      <c r="D57" s="62">
        <f t="shared" si="3"/>
        <v>0</v>
      </c>
      <c r="E57" s="253" t="e">
        <f t="shared" si="4"/>
        <v>#VALUE!</v>
      </c>
      <c r="F57" s="62">
        <f t="shared" si="5"/>
        <v>0</v>
      </c>
      <c r="G57" s="253" t="e">
        <f t="shared" si="6"/>
        <v>#VALUE!</v>
      </c>
      <c r="H57" s="62"/>
      <c r="I57" s="31"/>
    </row>
    <row r="58" spans="1:12" ht="16.5" thickBot="1">
      <c r="A58" s="836"/>
      <c r="B58" s="716" t="s">
        <v>71</v>
      </c>
      <c r="C58" s="74" t="s">
        <v>436</v>
      </c>
      <c r="D58" s="64">
        <f t="shared" si="3"/>
        <v>143968500</v>
      </c>
      <c r="E58" s="255" t="e">
        <f t="shared" si="4"/>
        <v>#VALUE!</v>
      </c>
      <c r="F58" s="64">
        <f t="shared" si="5"/>
        <v>-402031500</v>
      </c>
      <c r="G58" s="255" t="e">
        <f t="shared" si="6"/>
        <v>#VALUE!</v>
      </c>
      <c r="H58" s="64"/>
      <c r="I58" s="66"/>
    </row>
    <row r="59" spans="1:12" ht="5" customHeight="1" thickBot="1"/>
    <row r="60" spans="1:12">
      <c r="A60" s="833" t="s">
        <v>598</v>
      </c>
      <c r="B60" s="243" t="s">
        <v>599</v>
      </c>
      <c r="C60" s="242" t="s">
        <v>660</v>
      </c>
      <c r="D60" s="815" t="s">
        <v>600</v>
      </c>
      <c r="E60" s="816"/>
      <c r="F60" s="816"/>
      <c r="G60" s="816"/>
      <c r="H60" s="817"/>
      <c r="J60" s="5"/>
      <c r="K60" s="5"/>
      <c r="L60" s="5"/>
    </row>
    <row r="61" spans="1:12" ht="17">
      <c r="A61" s="834"/>
      <c r="B61" s="488" t="s">
        <v>612</v>
      </c>
      <c r="C61" s="625">
        <v>1250</v>
      </c>
      <c r="D61" s="491"/>
      <c r="H61" s="42"/>
      <c r="J61" s="509"/>
      <c r="K61" s="509"/>
      <c r="L61" s="509"/>
    </row>
    <row r="62" spans="1:12" ht="17">
      <c r="A62" s="834"/>
      <c r="B62" s="165" t="s">
        <v>596</v>
      </c>
      <c r="C62" s="625">
        <v>1480</v>
      </c>
      <c r="D62" s="492"/>
      <c r="H62" s="42"/>
      <c r="J62" s="509"/>
      <c r="K62" s="509"/>
      <c r="L62" s="509"/>
    </row>
    <row r="63" spans="1:12">
      <c r="A63" s="834"/>
      <c r="B63" s="165" t="s">
        <v>597</v>
      </c>
      <c r="C63" s="626">
        <v>1700</v>
      </c>
      <c r="D63" s="492"/>
      <c r="H63" s="42"/>
    </row>
    <row r="64" spans="1:12">
      <c r="A64" s="835"/>
      <c r="B64" s="165" t="s">
        <v>601</v>
      </c>
      <c r="C64" s="627">
        <v>2100</v>
      </c>
      <c r="D64" s="492"/>
      <c r="H64" s="42"/>
    </row>
    <row r="65" spans="1:8">
      <c r="A65" s="835"/>
      <c r="B65" s="165" t="s">
        <v>602</v>
      </c>
      <c r="C65" s="627">
        <v>2300</v>
      </c>
      <c r="D65" s="492"/>
      <c r="H65" s="42"/>
    </row>
    <row r="66" spans="1:8">
      <c r="A66" s="835"/>
      <c r="B66" s="165" t="s">
        <v>603</v>
      </c>
      <c r="C66" s="627">
        <v>2500</v>
      </c>
      <c r="D66" s="492"/>
      <c r="H66" s="42"/>
    </row>
    <row r="67" spans="1:8">
      <c r="A67" s="835"/>
      <c r="B67" s="165" t="s">
        <v>604</v>
      </c>
      <c r="C67" s="627">
        <v>2963</v>
      </c>
      <c r="D67" s="492"/>
      <c r="H67" s="42"/>
    </row>
    <row r="68" spans="1:8">
      <c r="A68" s="835"/>
      <c r="B68" s="165" t="s">
        <v>1458</v>
      </c>
      <c r="C68" s="627">
        <f>H54/10000</f>
        <v>2963.4794117647061</v>
      </c>
      <c r="D68" s="492"/>
      <c r="H68" s="42"/>
    </row>
    <row r="69" spans="1:8">
      <c r="A69" s="835"/>
      <c r="B69" s="165" t="s">
        <v>1459</v>
      </c>
      <c r="C69" s="627"/>
      <c r="D69" s="492"/>
      <c r="H69" s="42"/>
    </row>
    <row r="70" spans="1:8">
      <c r="A70" s="835"/>
      <c r="B70" s="165" t="s">
        <v>1460</v>
      </c>
      <c r="C70" s="627"/>
      <c r="D70" s="492"/>
      <c r="H70" s="42"/>
    </row>
    <row r="71" spans="1:8">
      <c r="A71" s="835"/>
      <c r="B71" s="165" t="s">
        <v>611</v>
      </c>
      <c r="C71" s="627"/>
      <c r="D71" s="492"/>
      <c r="H71" s="42"/>
    </row>
    <row r="72" spans="1:8">
      <c r="A72" s="835"/>
      <c r="B72" s="165" t="s">
        <v>616</v>
      </c>
      <c r="C72" s="627"/>
      <c r="D72" s="492"/>
      <c r="H72" s="42"/>
    </row>
    <row r="73" spans="1:8" ht="17.5" thickBot="1">
      <c r="A73" s="836"/>
      <c r="B73" s="490" t="s">
        <v>614</v>
      </c>
      <c r="C73" s="628"/>
      <c r="D73" s="493"/>
      <c r="E73" s="486"/>
      <c r="F73" s="486"/>
      <c r="G73" s="486"/>
      <c r="H73" s="487"/>
    </row>
    <row r="74" spans="1:8">
      <c r="A74" s="826" t="s">
        <v>650</v>
      </c>
      <c r="B74" s="582" t="s">
        <v>669</v>
      </c>
      <c r="C74" s="565"/>
      <c r="D74" s="566"/>
      <c r="E74" s="559"/>
      <c r="F74" s="559"/>
      <c r="G74" s="559"/>
      <c r="H74" s="567"/>
    </row>
    <row r="75" spans="1:8">
      <c r="A75" s="827"/>
      <c r="B75" s="206" t="s">
        <v>670</v>
      </c>
      <c r="C75" s="78"/>
      <c r="D75" s="79"/>
      <c r="E75" s="76"/>
      <c r="F75" s="76"/>
      <c r="G75" s="76"/>
      <c r="H75" s="114"/>
    </row>
    <row r="76" spans="1:8">
      <c r="A76" s="827"/>
      <c r="B76" s="206" t="s">
        <v>674</v>
      </c>
      <c r="C76" s="78"/>
      <c r="D76" s="79"/>
      <c r="E76" s="76"/>
      <c r="F76" s="76"/>
      <c r="G76" s="76"/>
      <c r="H76" s="114"/>
    </row>
    <row r="77" spans="1:8">
      <c r="A77" s="827"/>
      <c r="B77" s="206" t="s">
        <v>671</v>
      </c>
      <c r="C77" s="78"/>
      <c r="D77" s="79"/>
      <c r="E77" s="76"/>
      <c r="F77" s="76"/>
      <c r="G77" s="76"/>
      <c r="H77" s="114"/>
    </row>
    <row r="78" spans="1:8">
      <c r="A78" s="827"/>
      <c r="B78" s="206" t="s">
        <v>675</v>
      </c>
      <c r="C78" s="78"/>
      <c r="D78" s="79"/>
      <c r="E78" s="76"/>
      <c r="F78" s="76"/>
      <c r="G78" s="76"/>
      <c r="H78" s="114"/>
    </row>
    <row r="79" spans="1:8">
      <c r="A79" s="827"/>
      <c r="B79" s="206" t="s">
        <v>676</v>
      </c>
      <c r="C79" s="78"/>
      <c r="D79" s="79"/>
      <c r="E79" s="76"/>
      <c r="F79" s="76"/>
      <c r="G79" s="76"/>
      <c r="H79" s="114"/>
    </row>
    <row r="80" spans="1:8">
      <c r="A80" s="827"/>
      <c r="B80" s="206" t="s">
        <v>677</v>
      </c>
      <c r="C80" s="78"/>
      <c r="D80" s="79"/>
      <c r="E80" s="76"/>
      <c r="F80" s="76"/>
      <c r="G80" s="76"/>
      <c r="H80" s="114"/>
    </row>
    <row r="81" spans="1:8">
      <c r="A81" s="827"/>
      <c r="B81" s="206" t="s">
        <v>672</v>
      </c>
      <c r="C81" s="78"/>
      <c r="D81" s="79"/>
      <c r="E81" s="76"/>
      <c r="F81" s="76"/>
      <c r="G81" s="76"/>
      <c r="H81" s="114"/>
    </row>
    <row r="82" spans="1:8" ht="16.5" thickBot="1">
      <c r="A82" s="828"/>
      <c r="B82" s="568" t="s">
        <v>673</v>
      </c>
      <c r="C82" s="569"/>
      <c r="D82" s="570"/>
      <c r="E82" s="571"/>
      <c r="F82" s="571"/>
      <c r="G82" s="571"/>
      <c r="H82" s="572"/>
    </row>
  </sheetData>
  <mergeCells count="15">
    <mergeCell ref="I50:I53"/>
    <mergeCell ref="A74:A82"/>
    <mergeCell ref="A60:A73"/>
    <mergeCell ref="D60:H60"/>
    <mergeCell ref="A1:H1"/>
    <mergeCell ref="A2:A18"/>
    <mergeCell ref="A20:A27"/>
    <mergeCell ref="A50:A58"/>
    <mergeCell ref="A29:A38"/>
    <mergeCell ref="A40:A48"/>
    <mergeCell ref="C4:D4"/>
    <mergeCell ref="D5:E5"/>
    <mergeCell ref="G5:H5"/>
    <mergeCell ref="F8:H8"/>
    <mergeCell ref="G6:H6"/>
  </mergeCells>
  <phoneticPr fontId="16" type="noConversion"/>
  <pageMargins left="0.69972223043441772" right="0.69972223043441772" top="0.75" bottom="0.75" header="0.30000001192092896" footer="0.30000001192092896"/>
  <pageSetup paperSize="9" scale="86" orientation="portrait" horizontalDpi="4294967293" vertic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>
    <tabColor rgb="FFFF0000"/>
  </sheetPr>
  <dimension ref="A1:L133"/>
  <sheetViews>
    <sheetView showGridLines="0" topLeftCell="A46" zoomScale="70" zoomScaleNormal="70" workbookViewId="0">
      <selection activeCell="C72" sqref="C72"/>
    </sheetView>
  </sheetViews>
  <sheetFormatPr defaultColWidth="13.4140625" defaultRowHeight="16"/>
  <cols>
    <col min="1" max="1" width="6.4140625" style="256" customWidth="1"/>
    <col min="2" max="2" width="17.58203125" style="317" customWidth="1"/>
    <col min="3" max="3" width="26.25" style="330" bestFit="1" customWidth="1"/>
    <col min="4" max="4" width="18.4140625" style="299" bestFit="1" customWidth="1"/>
    <col min="5" max="5" width="14" style="256" bestFit="1" customWidth="1"/>
    <col min="6" max="6" width="15.9140625" style="256" bestFit="1" customWidth="1"/>
    <col min="7" max="7" width="14.08203125" style="256" bestFit="1" customWidth="1"/>
    <col min="8" max="8" width="20.33203125" style="256" customWidth="1"/>
    <col min="9" max="9" width="27.25" style="256" bestFit="1" customWidth="1"/>
    <col min="10" max="10" width="45.5" style="256" bestFit="1" customWidth="1"/>
    <col min="11" max="11" width="45.4140625" style="256" bestFit="1" customWidth="1"/>
    <col min="12" max="16384" width="13.4140625" style="256"/>
  </cols>
  <sheetData>
    <row r="1" spans="1:8" ht="31.5" customHeight="1">
      <c r="A1" s="900" t="s">
        <v>168</v>
      </c>
      <c r="B1" s="900"/>
      <c r="C1" s="900"/>
      <c r="D1" s="900"/>
      <c r="E1" s="900"/>
      <c r="F1" s="900"/>
      <c r="G1" s="900"/>
      <c r="H1" s="900"/>
    </row>
    <row r="2" spans="1:8" ht="15.5" customHeight="1">
      <c r="A2" s="889" t="s">
        <v>112</v>
      </c>
      <c r="B2" s="257" t="s">
        <v>420</v>
      </c>
      <c r="C2" s="912" t="s">
        <v>97</v>
      </c>
      <c r="D2" s="912"/>
      <c r="E2" s="912"/>
      <c r="F2" s="912"/>
      <c r="G2" s="912"/>
      <c r="H2" s="912"/>
    </row>
    <row r="3" spans="1:8" ht="15" customHeight="1">
      <c r="A3" s="892"/>
      <c r="B3" s="258" t="s">
        <v>471</v>
      </c>
      <c r="C3" s="911" t="s">
        <v>372</v>
      </c>
      <c r="D3" s="911"/>
      <c r="E3" s="911"/>
      <c r="F3" s="911"/>
      <c r="G3" s="911"/>
      <c r="H3" s="911"/>
    </row>
    <row r="4" spans="1:8">
      <c r="A4" s="892"/>
      <c r="B4" s="258" t="s">
        <v>407</v>
      </c>
      <c r="C4" s="259" t="s">
        <v>253</v>
      </c>
      <c r="D4" s="334"/>
      <c r="E4" s="260"/>
      <c r="F4" s="260"/>
      <c r="G4" s="260"/>
      <c r="H4" s="261"/>
    </row>
    <row r="5" spans="1:8">
      <c r="A5" s="889"/>
      <c r="B5" s="258" t="s">
        <v>58</v>
      </c>
      <c r="C5" s="908" t="s">
        <v>263</v>
      </c>
      <c r="D5" s="909"/>
      <c r="E5" s="262"/>
      <c r="F5" s="262"/>
      <c r="G5" s="262"/>
      <c r="H5" s="263"/>
    </row>
    <row r="6" spans="1:8">
      <c r="A6" s="892"/>
      <c r="B6" s="258" t="s">
        <v>53</v>
      </c>
      <c r="C6" s="908">
        <v>39579</v>
      </c>
      <c r="D6" s="909"/>
      <c r="E6" s="260"/>
      <c r="F6" s="262"/>
      <c r="G6" s="262"/>
      <c r="H6" s="263"/>
    </row>
    <row r="7" spans="1:8">
      <c r="A7" s="901"/>
      <c r="B7" s="264" t="s">
        <v>99</v>
      </c>
      <c r="C7" s="265">
        <v>54289</v>
      </c>
      <c r="D7" s="903" t="s">
        <v>231</v>
      </c>
      <c r="E7" s="904"/>
      <c r="F7" s="266">
        <f>C7*0.3025/C9</f>
        <v>40.750428039702236</v>
      </c>
      <c r="G7" s="905" t="s">
        <v>523</v>
      </c>
      <c r="H7" s="906"/>
    </row>
    <row r="8" spans="1:8">
      <c r="A8" s="901"/>
      <c r="B8" s="264" t="s">
        <v>425</v>
      </c>
      <c r="C8" s="265">
        <v>8</v>
      </c>
      <c r="D8" s="267" t="s">
        <v>332</v>
      </c>
      <c r="E8" s="260"/>
      <c r="F8" s="260"/>
      <c r="G8" s="260"/>
      <c r="H8" s="261"/>
    </row>
    <row r="9" spans="1:8">
      <c r="A9" s="901"/>
      <c r="B9" s="264" t="s">
        <v>335</v>
      </c>
      <c r="C9" s="265">
        <v>403</v>
      </c>
      <c r="D9" s="268" t="s">
        <v>39</v>
      </c>
      <c r="E9" s="269">
        <f>C9/C11</f>
        <v>0.38126773888363291</v>
      </c>
      <c r="F9" s="267"/>
      <c r="G9" s="260"/>
      <c r="H9" s="261"/>
    </row>
    <row r="10" spans="1:8">
      <c r="A10" s="901"/>
      <c r="B10" s="264" t="s">
        <v>54</v>
      </c>
      <c r="C10" s="270">
        <f>C11-C9</f>
        <v>654</v>
      </c>
      <c r="D10" s="268" t="s">
        <v>145</v>
      </c>
      <c r="E10" s="271">
        <f>C10/C11</f>
        <v>0.61873226111636703</v>
      </c>
      <c r="F10" s="910" t="s">
        <v>29</v>
      </c>
      <c r="G10" s="898"/>
      <c r="H10" s="899"/>
    </row>
    <row r="11" spans="1:8">
      <c r="A11" s="901"/>
      <c r="B11" s="264" t="s">
        <v>150</v>
      </c>
      <c r="C11" s="340">
        <v>1057</v>
      </c>
      <c r="D11" s="341" t="s">
        <v>321</v>
      </c>
      <c r="E11" s="260"/>
      <c r="F11" s="260"/>
      <c r="G11" s="260"/>
      <c r="H11" s="261"/>
    </row>
    <row r="12" spans="1:8">
      <c r="A12" s="901"/>
      <c r="B12" s="264" t="s">
        <v>427</v>
      </c>
      <c r="C12" s="273">
        <v>0.44670000000000004</v>
      </c>
      <c r="D12" s="457" t="s">
        <v>84</v>
      </c>
      <c r="E12" s="458">
        <f>C7*C12</f>
        <v>24250.896300000004</v>
      </c>
      <c r="F12" s="459" t="s">
        <v>41</v>
      </c>
      <c r="G12" s="460">
        <f>E13/E12</f>
        <v>5.8612043877322568</v>
      </c>
      <c r="H12" s="461"/>
    </row>
    <row r="13" spans="1:8">
      <c r="A13" s="901"/>
      <c r="B13" s="264" t="s">
        <v>466</v>
      </c>
      <c r="C13" s="273">
        <v>2.6181999999999999</v>
      </c>
      <c r="D13" s="457" t="s">
        <v>91</v>
      </c>
      <c r="E13" s="462">
        <f>C7*C13</f>
        <v>142139.45979999998</v>
      </c>
      <c r="F13" s="459" t="s">
        <v>209</v>
      </c>
      <c r="G13" s="460">
        <f>E13*76%</f>
        <v>108025.98944799999</v>
      </c>
      <c r="H13" s="463"/>
    </row>
    <row r="14" spans="1:8">
      <c r="A14" s="901"/>
      <c r="B14" s="264" t="s">
        <v>208</v>
      </c>
      <c r="C14" s="275" t="s">
        <v>248</v>
      </c>
      <c r="D14" s="464"/>
      <c r="E14" s="465"/>
      <c r="F14" s="896" t="s">
        <v>234</v>
      </c>
      <c r="G14" s="897"/>
      <c r="H14" s="367">
        <f>G13/C40</f>
        <v>1.4290475235537681</v>
      </c>
    </row>
    <row r="15" spans="1:8" ht="15" customHeight="1">
      <c r="A15" s="901"/>
      <c r="B15" s="264" t="s">
        <v>441</v>
      </c>
      <c r="C15" s="276" t="s">
        <v>213</v>
      </c>
      <c r="D15" s="277"/>
      <c r="E15" s="260"/>
      <c r="F15" s="898"/>
      <c r="G15" s="898"/>
      <c r="H15" s="899"/>
    </row>
    <row r="16" spans="1:8">
      <c r="A16" s="901"/>
      <c r="B16" s="278" t="s">
        <v>87</v>
      </c>
      <c r="C16" s="335">
        <v>1.04</v>
      </c>
      <c r="D16" s="336"/>
      <c r="E16" s="260"/>
      <c r="F16" s="260"/>
      <c r="G16" s="260"/>
      <c r="H16" s="261"/>
    </row>
    <row r="17" spans="1:8" ht="15" customHeight="1">
      <c r="A17" s="889"/>
      <c r="B17" s="907" t="s">
        <v>470</v>
      </c>
      <c r="C17" s="279"/>
      <c r="D17" s="337"/>
      <c r="E17" s="280"/>
      <c r="F17" s="280"/>
      <c r="G17" s="280"/>
      <c r="H17" s="281"/>
    </row>
    <row r="18" spans="1:8">
      <c r="A18" s="902"/>
      <c r="B18" s="907"/>
      <c r="C18" s="339"/>
      <c r="D18" s="338"/>
      <c r="E18" s="282"/>
      <c r="F18" s="282"/>
      <c r="G18" s="282"/>
      <c r="H18" s="283"/>
    </row>
    <row r="19" spans="1:8" ht="5.25" customHeight="1">
      <c r="A19" s="284"/>
      <c r="B19" s="285"/>
      <c r="C19" s="286"/>
      <c r="D19" s="286"/>
      <c r="H19" s="287"/>
    </row>
    <row r="20" spans="1:8">
      <c r="A20" s="889" t="s">
        <v>49</v>
      </c>
      <c r="B20" s="288" t="s">
        <v>174</v>
      </c>
      <c r="C20" s="289" t="s">
        <v>280</v>
      </c>
      <c r="D20" s="290"/>
      <c r="E20" s="291"/>
      <c r="F20" s="291"/>
      <c r="G20" s="291"/>
      <c r="H20" s="292"/>
    </row>
    <row r="21" spans="1:8">
      <c r="A21" s="890"/>
      <c r="B21" s="293" t="s">
        <v>65</v>
      </c>
      <c r="C21" s="294" t="s">
        <v>281</v>
      </c>
      <c r="D21" s="295"/>
      <c r="E21" s="260"/>
      <c r="F21" s="260"/>
      <c r="G21" s="260"/>
      <c r="H21" s="261"/>
    </row>
    <row r="22" spans="1:8">
      <c r="A22" s="889"/>
      <c r="B22" s="293" t="s">
        <v>95</v>
      </c>
      <c r="C22" s="274" t="s">
        <v>279</v>
      </c>
      <c r="D22" s="295"/>
      <c r="E22" s="260"/>
      <c r="F22" s="260"/>
      <c r="G22" s="260"/>
      <c r="H22" s="261"/>
    </row>
    <row r="23" spans="1:8">
      <c r="A23" s="890"/>
      <c r="B23" s="293" t="s">
        <v>349</v>
      </c>
      <c r="C23" s="274" t="s">
        <v>292</v>
      </c>
      <c r="D23" s="295"/>
      <c r="E23" s="260"/>
      <c r="F23" s="260"/>
      <c r="G23" s="260"/>
      <c r="H23" s="261"/>
    </row>
    <row r="24" spans="1:8">
      <c r="A24" s="889"/>
      <c r="B24" s="293" t="s">
        <v>452</v>
      </c>
      <c r="C24" s="274" t="s">
        <v>459</v>
      </c>
      <c r="D24" s="295"/>
      <c r="E24" s="260"/>
      <c r="F24" s="260"/>
      <c r="G24" s="260"/>
      <c r="H24" s="261"/>
    </row>
    <row r="25" spans="1:8">
      <c r="A25" s="890"/>
      <c r="B25" s="293" t="s">
        <v>445</v>
      </c>
      <c r="C25" s="274" t="s">
        <v>1382</v>
      </c>
      <c r="D25" s="272"/>
      <c r="E25" s="260"/>
      <c r="F25" s="260"/>
      <c r="G25" s="260"/>
      <c r="H25" s="261"/>
    </row>
    <row r="26" spans="1:8">
      <c r="A26" s="890"/>
      <c r="B26" s="293" t="s">
        <v>167</v>
      </c>
      <c r="C26" s="274" t="s">
        <v>1381</v>
      </c>
      <c r="D26" s="272"/>
      <c r="E26" s="260"/>
      <c r="F26" s="260"/>
      <c r="G26" s="260"/>
      <c r="H26" s="261"/>
    </row>
    <row r="27" spans="1:8">
      <c r="A27" s="890"/>
      <c r="B27" s="293" t="s">
        <v>447</v>
      </c>
      <c r="C27" s="274" t="s">
        <v>851</v>
      </c>
      <c r="D27" s="272"/>
      <c r="E27" s="260"/>
      <c r="F27" s="260"/>
      <c r="G27" s="260"/>
      <c r="H27" s="261"/>
    </row>
    <row r="28" spans="1:8">
      <c r="A28" s="891"/>
      <c r="B28" s="293"/>
      <c r="C28" s="296"/>
      <c r="D28" s="297"/>
      <c r="E28" s="282"/>
      <c r="F28" s="282"/>
      <c r="G28" s="282"/>
      <c r="H28" s="283"/>
    </row>
    <row r="29" spans="1:8" ht="5.25" customHeight="1">
      <c r="A29" s="284"/>
      <c r="B29" s="285"/>
      <c r="C29" s="298"/>
      <c r="H29" s="287"/>
    </row>
    <row r="30" spans="1:8" s="305" customFormat="1" ht="13.5" customHeight="1">
      <c r="A30" s="889" t="s">
        <v>160</v>
      </c>
      <c r="B30" s="300" t="s">
        <v>101</v>
      </c>
      <c r="C30" s="301" t="s">
        <v>48</v>
      </c>
      <c r="D30" s="302" t="s">
        <v>125</v>
      </c>
      <c r="E30" s="302" t="s">
        <v>434</v>
      </c>
      <c r="F30" s="302" t="s">
        <v>414</v>
      </c>
      <c r="G30" s="303" t="s">
        <v>454</v>
      </c>
      <c r="H30" s="304" t="s">
        <v>470</v>
      </c>
    </row>
    <row r="31" spans="1:8">
      <c r="A31" s="890"/>
      <c r="B31" s="306" t="s">
        <v>431</v>
      </c>
      <c r="C31" s="307">
        <f>39*D31</f>
        <v>1755</v>
      </c>
      <c r="D31" s="265">
        <v>45</v>
      </c>
      <c r="E31" s="265" t="s">
        <v>436</v>
      </c>
      <c r="F31" s="265" t="s">
        <v>436</v>
      </c>
      <c r="G31" s="308">
        <f t="shared" ref="G31:G39" si="0">D31/$D$40</f>
        <v>4.2573320719016081E-2</v>
      </c>
      <c r="H31" s="309" t="s">
        <v>449</v>
      </c>
    </row>
    <row r="32" spans="1:8">
      <c r="A32" s="892"/>
      <c r="B32" s="306" t="s">
        <v>406</v>
      </c>
      <c r="C32" s="307">
        <f>39*D32</f>
        <v>546</v>
      </c>
      <c r="D32" s="265">
        <v>14</v>
      </c>
      <c r="E32" s="265" t="s">
        <v>436</v>
      </c>
      <c r="F32" s="265" t="s">
        <v>436</v>
      </c>
      <c r="G32" s="308">
        <f t="shared" si="0"/>
        <v>1.3245033112582781E-2</v>
      </c>
      <c r="H32" s="309" t="s">
        <v>449</v>
      </c>
    </row>
    <row r="33" spans="1:8">
      <c r="A33" s="889"/>
      <c r="B33" s="306" t="s">
        <v>473</v>
      </c>
      <c r="C33" s="307">
        <f>59*D33</f>
        <v>12508</v>
      </c>
      <c r="D33" s="265">
        <v>212</v>
      </c>
      <c r="E33" s="265">
        <f t="shared" ref="E33:E39" si="1">D33-F33</f>
        <v>111</v>
      </c>
      <c r="F33" s="265">
        <v>101</v>
      </c>
      <c r="G33" s="308">
        <f t="shared" si="0"/>
        <v>0.20056764427625354</v>
      </c>
      <c r="H33" s="309"/>
    </row>
    <row r="34" spans="1:8">
      <c r="A34" s="890"/>
      <c r="B34" s="264" t="s">
        <v>475</v>
      </c>
      <c r="C34" s="307">
        <f>59*D34</f>
        <v>3422</v>
      </c>
      <c r="D34" s="265">
        <v>58</v>
      </c>
      <c r="E34" s="265">
        <f t="shared" si="1"/>
        <v>40</v>
      </c>
      <c r="F34" s="265">
        <v>18</v>
      </c>
      <c r="G34" s="308">
        <f t="shared" si="0"/>
        <v>5.4872280037842953E-2</v>
      </c>
      <c r="H34" s="309"/>
    </row>
    <row r="35" spans="1:8">
      <c r="A35" s="890"/>
      <c r="B35" s="306" t="s">
        <v>474</v>
      </c>
      <c r="C35" s="307">
        <f>74*D35</f>
        <v>25382</v>
      </c>
      <c r="D35" s="265">
        <v>343</v>
      </c>
      <c r="E35" s="265">
        <f t="shared" si="1"/>
        <v>282</v>
      </c>
      <c r="F35" s="265">
        <v>61</v>
      </c>
      <c r="G35" s="308">
        <f t="shared" si="0"/>
        <v>0.32450331125827814</v>
      </c>
      <c r="H35" s="309"/>
    </row>
    <row r="36" spans="1:8">
      <c r="A36" s="889"/>
      <c r="B36" s="306" t="s">
        <v>440</v>
      </c>
      <c r="C36" s="307">
        <f>74*D36</f>
        <v>2664</v>
      </c>
      <c r="D36" s="265">
        <v>36</v>
      </c>
      <c r="E36" s="265">
        <f t="shared" si="1"/>
        <v>33</v>
      </c>
      <c r="F36" s="265">
        <v>3</v>
      </c>
      <c r="G36" s="308">
        <f t="shared" si="0"/>
        <v>3.405865657521287E-2</v>
      </c>
      <c r="H36" s="309"/>
    </row>
    <row r="37" spans="1:8">
      <c r="A37" s="892"/>
      <c r="B37" s="306" t="s">
        <v>472</v>
      </c>
      <c r="C37" s="307">
        <f>84*D37</f>
        <v>11592</v>
      </c>
      <c r="D37" s="310">
        <v>138</v>
      </c>
      <c r="E37" s="265">
        <f t="shared" si="1"/>
        <v>0</v>
      </c>
      <c r="F37" s="310">
        <v>138</v>
      </c>
      <c r="G37" s="308">
        <f t="shared" si="0"/>
        <v>0.130558183538316</v>
      </c>
      <c r="H37" s="311"/>
    </row>
    <row r="38" spans="1:8">
      <c r="A38" s="892"/>
      <c r="B38" s="306" t="s">
        <v>478</v>
      </c>
      <c r="C38" s="307">
        <f>84*D38</f>
        <v>14700</v>
      </c>
      <c r="D38" s="310">
        <v>175</v>
      </c>
      <c r="E38" s="265">
        <f t="shared" si="1"/>
        <v>95</v>
      </c>
      <c r="F38" s="310">
        <v>80</v>
      </c>
      <c r="G38" s="308">
        <f t="shared" si="0"/>
        <v>0.16556291390728478</v>
      </c>
      <c r="H38" s="311"/>
    </row>
    <row r="39" spans="1:8">
      <c r="A39" s="892"/>
      <c r="B39" s="306" t="s">
        <v>435</v>
      </c>
      <c r="C39" s="307">
        <f>84*D39</f>
        <v>3024</v>
      </c>
      <c r="D39" s="310">
        <v>36</v>
      </c>
      <c r="E39" s="265">
        <f t="shared" si="1"/>
        <v>34</v>
      </c>
      <c r="F39" s="310">
        <v>2</v>
      </c>
      <c r="G39" s="308">
        <f t="shared" si="0"/>
        <v>3.405865657521287E-2</v>
      </c>
      <c r="H39" s="311"/>
    </row>
    <row r="40" spans="1:8">
      <c r="A40" s="891"/>
      <c r="B40" s="306" t="s">
        <v>462</v>
      </c>
      <c r="C40" s="312">
        <f>SUM(C31:C39)</f>
        <v>75593</v>
      </c>
      <c r="D40" s="312">
        <f>SUM(D31:D39)</f>
        <v>1057</v>
      </c>
      <c r="E40" s="312">
        <f>SUM(E31:E39)</f>
        <v>595</v>
      </c>
      <c r="F40" s="312">
        <f>SUM(F31:F39)</f>
        <v>403</v>
      </c>
      <c r="G40" s="313">
        <f>SUM(G31:G39)</f>
        <v>0.99999999999999989</v>
      </c>
      <c r="H40" s="314">
        <f>SUM(H31:H36)</f>
        <v>0</v>
      </c>
    </row>
    <row r="41" spans="1:8" ht="6" customHeight="1">
      <c r="A41" s="284"/>
      <c r="B41" s="285"/>
      <c r="C41" s="298"/>
      <c r="H41" s="287"/>
    </row>
    <row r="42" spans="1:8" s="317" customFormat="1">
      <c r="A42" s="893" t="s">
        <v>33</v>
      </c>
      <c r="B42" s="300" t="s">
        <v>451</v>
      </c>
      <c r="C42" s="302" t="s">
        <v>904</v>
      </c>
      <c r="D42" s="302" t="s">
        <v>905</v>
      </c>
      <c r="E42" s="302" t="s">
        <v>43</v>
      </c>
      <c r="F42" s="302" t="s">
        <v>906</v>
      </c>
      <c r="G42" s="315" t="s">
        <v>172</v>
      </c>
      <c r="H42" s="316" t="s">
        <v>470</v>
      </c>
    </row>
    <row r="43" spans="1:8" ht="16.5" customHeight="1">
      <c r="A43" s="894"/>
      <c r="B43" s="306" t="s">
        <v>431</v>
      </c>
      <c r="C43" s="318" t="s">
        <v>436</v>
      </c>
      <c r="D43" s="319" t="s">
        <v>436</v>
      </c>
      <c r="E43" s="332" t="e">
        <f>(D43-C43)*17</f>
        <v>#VALUE!</v>
      </c>
      <c r="F43" s="319" t="s">
        <v>436</v>
      </c>
      <c r="G43" s="332" t="e">
        <f>(F43-C43)*17</f>
        <v>#VALUE!</v>
      </c>
      <c r="H43" s="320" t="s">
        <v>449</v>
      </c>
    </row>
    <row r="44" spans="1:8" ht="16.5" customHeight="1">
      <c r="A44" s="895"/>
      <c r="B44" s="306" t="s">
        <v>406</v>
      </c>
      <c r="C44" s="318" t="s">
        <v>436</v>
      </c>
      <c r="D44" s="319" t="s">
        <v>436</v>
      </c>
      <c r="E44" s="332" t="e">
        <f>(D44-C44)*17</f>
        <v>#VALUE!</v>
      </c>
      <c r="F44" s="319" t="s">
        <v>436</v>
      </c>
      <c r="G44" s="332" t="e">
        <f>(F44-C44)*17</f>
        <v>#VALUE!</v>
      </c>
      <c r="H44" s="320" t="s">
        <v>449</v>
      </c>
    </row>
    <row r="45" spans="1:8" ht="16.5" customHeight="1">
      <c r="A45" s="893"/>
      <c r="B45" s="306" t="s">
        <v>473</v>
      </c>
      <c r="C45" s="318">
        <f>242800000/25</f>
        <v>9712000</v>
      </c>
      <c r="D45" s="319">
        <v>12000000</v>
      </c>
      <c r="E45" s="332">
        <f>(D45-C45)*25</f>
        <v>57200000</v>
      </c>
      <c r="F45" s="319"/>
      <c r="G45" s="332">
        <f>(F45-C45)*25</f>
        <v>-242800000</v>
      </c>
      <c r="H45" s="320"/>
    </row>
    <row r="46" spans="1:8" ht="16.5" customHeight="1">
      <c r="A46" s="894"/>
      <c r="B46" s="264" t="s">
        <v>475</v>
      </c>
      <c r="C46" s="318">
        <f>242800000/25</f>
        <v>9712000</v>
      </c>
      <c r="D46" s="319">
        <v>12000000</v>
      </c>
      <c r="E46" s="332">
        <f>(D46-C46)*25</f>
        <v>57200000</v>
      </c>
      <c r="F46" s="319"/>
      <c r="G46" s="332">
        <f>(F46-C46)*25</f>
        <v>-242800000</v>
      </c>
      <c r="H46" s="320"/>
    </row>
    <row r="47" spans="1:8" ht="16.5" customHeight="1">
      <c r="A47" s="894"/>
      <c r="B47" s="306" t="s">
        <v>474</v>
      </c>
      <c r="C47" s="318">
        <f>283748495/29</f>
        <v>9784430.862068966</v>
      </c>
      <c r="D47" s="319">
        <v>12000000</v>
      </c>
      <c r="E47" s="332">
        <f>(D47-C47)*29</f>
        <v>64251504.999999985</v>
      </c>
      <c r="F47" s="319"/>
      <c r="G47" s="332">
        <f>(F47-C47)*29</f>
        <v>-283748495</v>
      </c>
      <c r="H47" s="320"/>
    </row>
    <row r="48" spans="1:8" ht="16.5" customHeight="1">
      <c r="A48" s="894"/>
      <c r="B48" s="306" t="s">
        <v>440</v>
      </c>
      <c r="C48" s="318">
        <f>283748495/29</f>
        <v>9784430.862068966</v>
      </c>
      <c r="D48" s="319">
        <v>12000000</v>
      </c>
      <c r="E48" s="332">
        <f>(D48-C48)*29</f>
        <v>64251504.999999985</v>
      </c>
      <c r="F48" s="319"/>
      <c r="G48" s="332">
        <f>(F48-C48)*29</f>
        <v>-283748495</v>
      </c>
      <c r="H48" s="320"/>
    </row>
    <row r="49" spans="1:12" ht="16.5" customHeight="1">
      <c r="A49" s="893"/>
      <c r="B49" s="306" t="s">
        <v>472</v>
      </c>
      <c r="C49" s="728">
        <f>321423634/33</f>
        <v>9740110.1212121211</v>
      </c>
      <c r="D49" s="319">
        <v>12000000</v>
      </c>
      <c r="E49" s="332">
        <f>(D49-C49)*33</f>
        <v>74576366</v>
      </c>
      <c r="F49" s="727">
        <v>21760000</v>
      </c>
      <c r="G49" s="332">
        <f>(F49-C49)*33</f>
        <v>396656366</v>
      </c>
      <c r="H49" s="320" t="s">
        <v>276</v>
      </c>
    </row>
    <row r="50" spans="1:12" ht="16.5" customHeight="1">
      <c r="A50" s="894"/>
      <c r="B50" s="306" t="s">
        <v>478</v>
      </c>
      <c r="C50" s="321">
        <f>321423634/33</f>
        <v>9740110.1212121211</v>
      </c>
      <c r="D50" s="319">
        <v>12000000</v>
      </c>
      <c r="E50" s="332">
        <f>(D50-C50)*33</f>
        <v>74576366</v>
      </c>
      <c r="F50" s="319"/>
      <c r="G50" s="332">
        <f>(F50-C50)*33</f>
        <v>-321423634</v>
      </c>
      <c r="H50" s="320"/>
    </row>
    <row r="51" spans="1:12" ht="16.5" customHeight="1">
      <c r="A51" s="893"/>
      <c r="B51" s="306" t="s">
        <v>435</v>
      </c>
      <c r="C51" s="321">
        <f>321423634/33</f>
        <v>9740110.1212121211</v>
      </c>
      <c r="D51" s="319">
        <v>12000000</v>
      </c>
      <c r="E51" s="332">
        <f>(D51-C51)*33</f>
        <v>74576366</v>
      </c>
      <c r="F51" s="319"/>
      <c r="G51" s="332">
        <f>(F51-C51)*33</f>
        <v>-321423634</v>
      </c>
      <c r="H51" s="320"/>
    </row>
    <row r="52" spans="1:12" ht="5.25" customHeight="1" thickBot="1">
      <c r="A52" s="322"/>
      <c r="B52" s="323"/>
      <c r="C52" s="324"/>
      <c r="D52" s="324"/>
      <c r="E52" s="324"/>
      <c r="F52" s="324"/>
      <c r="G52" s="324"/>
      <c r="H52" s="325"/>
    </row>
    <row r="53" spans="1:12" ht="60.15" customHeight="1">
      <c r="A53" s="886" t="s">
        <v>286</v>
      </c>
      <c r="B53" s="302" t="s">
        <v>101</v>
      </c>
      <c r="C53" s="508" t="s">
        <v>1395</v>
      </c>
      <c r="D53" s="326" t="s">
        <v>247</v>
      </c>
      <c r="E53" s="327" t="s">
        <v>322</v>
      </c>
      <c r="F53" s="326" t="s">
        <v>222</v>
      </c>
      <c r="G53" s="327" t="s">
        <v>367</v>
      </c>
      <c r="H53" s="302" t="s">
        <v>1136</v>
      </c>
      <c r="I53" s="824" t="s">
        <v>1206</v>
      </c>
    </row>
    <row r="54" spans="1:12">
      <c r="A54" s="887"/>
      <c r="B54" s="747" t="s">
        <v>431</v>
      </c>
      <c r="C54" s="328" t="s">
        <v>436</v>
      </c>
      <c r="D54" s="319" t="e">
        <f t="shared" ref="D54:D62" si="2">E43</f>
        <v>#VALUE!</v>
      </c>
      <c r="E54" s="332" t="e">
        <f t="shared" ref="E54:E62" si="3">D54-C54</f>
        <v>#VALUE!</v>
      </c>
      <c r="F54" s="319" t="e">
        <f t="shared" ref="F54:F62" si="4">G43</f>
        <v>#VALUE!</v>
      </c>
      <c r="G54" s="332" t="e">
        <f t="shared" ref="G54:G62" si="5">F54-C54</f>
        <v>#VALUE!</v>
      </c>
      <c r="H54" s="748"/>
      <c r="I54" s="825"/>
    </row>
    <row r="55" spans="1:12">
      <c r="A55" s="887"/>
      <c r="B55" s="747" t="s">
        <v>406</v>
      </c>
      <c r="C55" s="328" t="s">
        <v>436</v>
      </c>
      <c r="D55" s="319" t="e">
        <f t="shared" si="2"/>
        <v>#VALUE!</v>
      </c>
      <c r="E55" s="332" t="e">
        <f t="shared" si="3"/>
        <v>#VALUE!</v>
      </c>
      <c r="F55" s="319" t="e">
        <f t="shared" si="4"/>
        <v>#VALUE!</v>
      </c>
      <c r="G55" s="332" t="e">
        <f t="shared" si="5"/>
        <v>#VALUE!</v>
      </c>
      <c r="H55" s="748"/>
      <c r="I55" s="825"/>
    </row>
    <row r="56" spans="1:12">
      <c r="A56" s="887"/>
      <c r="B56" s="747" t="s">
        <v>473</v>
      </c>
      <c r="C56" s="328"/>
      <c r="D56" s="319">
        <f t="shared" si="2"/>
        <v>57200000</v>
      </c>
      <c r="E56" s="332">
        <f t="shared" si="3"/>
        <v>57200000</v>
      </c>
      <c r="F56" s="319">
        <f t="shared" si="4"/>
        <v>-242800000</v>
      </c>
      <c r="G56" s="332">
        <f t="shared" si="5"/>
        <v>-242800000</v>
      </c>
      <c r="H56" s="748"/>
      <c r="I56" s="825"/>
    </row>
    <row r="57" spans="1:12">
      <c r="A57" s="887"/>
      <c r="B57" s="293" t="s">
        <v>475</v>
      </c>
      <c r="C57" s="328"/>
      <c r="D57" s="319">
        <f t="shared" si="2"/>
        <v>57200000</v>
      </c>
      <c r="E57" s="332">
        <f t="shared" si="3"/>
        <v>57200000</v>
      </c>
      <c r="F57" s="319">
        <f t="shared" si="4"/>
        <v>-242800000</v>
      </c>
      <c r="G57" s="332">
        <f t="shared" si="5"/>
        <v>-242800000</v>
      </c>
      <c r="H57" s="748"/>
      <c r="I57" s="825"/>
    </row>
    <row r="58" spans="1:12">
      <c r="A58" s="887"/>
      <c r="B58" s="747" t="s">
        <v>474</v>
      </c>
      <c r="C58" s="328"/>
      <c r="D58" s="319">
        <f t="shared" si="2"/>
        <v>64251504.999999985</v>
      </c>
      <c r="E58" s="332">
        <f t="shared" si="3"/>
        <v>64251504.999999985</v>
      </c>
      <c r="F58" s="319">
        <f t="shared" si="4"/>
        <v>-283748495</v>
      </c>
      <c r="G58" s="332">
        <f t="shared" si="5"/>
        <v>-283748495</v>
      </c>
      <c r="H58" s="748"/>
      <c r="I58" s="825"/>
    </row>
    <row r="59" spans="1:12">
      <c r="A59" s="887"/>
      <c r="B59" s="747" t="s">
        <v>440</v>
      </c>
      <c r="C59" s="328"/>
      <c r="D59" s="319">
        <f t="shared" si="2"/>
        <v>64251504.999999985</v>
      </c>
      <c r="E59" s="332">
        <f t="shared" si="3"/>
        <v>64251504.999999985</v>
      </c>
      <c r="F59" s="319">
        <f t="shared" si="4"/>
        <v>-283748495</v>
      </c>
      <c r="G59" s="332">
        <f t="shared" si="5"/>
        <v>-283748495</v>
      </c>
      <c r="H59" s="748"/>
      <c r="I59" s="825"/>
    </row>
    <row r="60" spans="1:12" ht="17">
      <c r="A60" s="887"/>
      <c r="B60" s="747" t="s">
        <v>472</v>
      </c>
      <c r="C60" s="329">
        <v>450000000</v>
      </c>
      <c r="D60" s="319">
        <f t="shared" si="2"/>
        <v>74576366</v>
      </c>
      <c r="E60" s="333">
        <f t="shared" si="3"/>
        <v>-375423634</v>
      </c>
      <c r="F60" s="319">
        <f t="shared" si="4"/>
        <v>396656366</v>
      </c>
      <c r="G60" s="332">
        <f t="shared" si="5"/>
        <v>-53343634</v>
      </c>
      <c r="H60" s="62">
        <f>(C60+(C49*34))/34</f>
        <v>22975404.23885918</v>
      </c>
      <c r="I60" s="751">
        <f>H60/F49</f>
        <v>1.0558549742122785</v>
      </c>
    </row>
    <row r="61" spans="1:12">
      <c r="A61" s="887"/>
      <c r="B61" s="747" t="s">
        <v>478</v>
      </c>
      <c r="C61" s="329"/>
      <c r="D61" s="319">
        <f t="shared" si="2"/>
        <v>74576366</v>
      </c>
      <c r="E61" s="332">
        <f t="shared" si="3"/>
        <v>74576366</v>
      </c>
      <c r="F61" s="319">
        <f t="shared" si="4"/>
        <v>-321423634</v>
      </c>
      <c r="G61" s="332">
        <f t="shared" si="5"/>
        <v>-321423634</v>
      </c>
      <c r="H61" s="748"/>
      <c r="I61" s="320"/>
    </row>
    <row r="62" spans="1:12" ht="16.5" thickBot="1">
      <c r="A62" s="888"/>
      <c r="B62" s="749" t="s">
        <v>435</v>
      </c>
      <c r="C62" s="743"/>
      <c r="D62" s="744">
        <f t="shared" si="2"/>
        <v>74576366</v>
      </c>
      <c r="E62" s="745">
        <f t="shared" si="3"/>
        <v>74576366</v>
      </c>
      <c r="F62" s="744">
        <f t="shared" si="4"/>
        <v>-321423634</v>
      </c>
      <c r="G62" s="745">
        <f t="shared" si="5"/>
        <v>-321423634</v>
      </c>
      <c r="H62" s="750"/>
      <c r="I62" s="746"/>
    </row>
    <row r="63" spans="1:12" ht="4" customHeight="1" thickBot="1"/>
    <row r="64" spans="1:12" s="1" customFormat="1">
      <c r="A64" s="833" t="s">
        <v>598</v>
      </c>
      <c r="B64" s="243" t="s">
        <v>599</v>
      </c>
      <c r="C64" s="242" t="s">
        <v>660</v>
      </c>
      <c r="D64" s="815" t="s">
        <v>600</v>
      </c>
      <c r="E64" s="816"/>
      <c r="F64" s="816"/>
      <c r="G64" s="816"/>
      <c r="H64" s="817"/>
      <c r="J64" s="5"/>
      <c r="K64" s="5"/>
      <c r="L64" s="5"/>
    </row>
    <row r="65" spans="1:12" s="1" customFormat="1" ht="17">
      <c r="A65" s="834"/>
      <c r="B65" s="488" t="s">
        <v>612</v>
      </c>
      <c r="C65" s="625"/>
      <c r="D65" s="491"/>
      <c r="H65" s="42"/>
      <c r="J65" s="509"/>
      <c r="K65" s="509"/>
      <c r="L65" s="509"/>
    </row>
    <row r="66" spans="1:12" s="1" customFormat="1" ht="17">
      <c r="A66" s="834"/>
      <c r="B66" s="165" t="s">
        <v>596</v>
      </c>
      <c r="C66" s="625">
        <v>1130</v>
      </c>
      <c r="D66" s="492"/>
      <c r="H66" s="42"/>
      <c r="J66" s="509"/>
      <c r="K66" s="509"/>
      <c r="L66" s="509"/>
    </row>
    <row r="67" spans="1:12" s="1" customFormat="1">
      <c r="A67" s="834"/>
      <c r="B67" s="165" t="s">
        <v>597</v>
      </c>
      <c r="C67" s="626">
        <v>1400</v>
      </c>
      <c r="D67" s="492"/>
      <c r="H67" s="42"/>
    </row>
    <row r="68" spans="1:12" s="1" customFormat="1">
      <c r="A68" s="835"/>
      <c r="B68" s="165" t="s">
        <v>601</v>
      </c>
      <c r="C68" s="627">
        <v>1600</v>
      </c>
      <c r="D68" s="492"/>
      <c r="H68" s="42"/>
    </row>
    <row r="69" spans="1:12" s="1" customFormat="1">
      <c r="A69" s="835"/>
      <c r="B69" s="165" t="s">
        <v>602</v>
      </c>
      <c r="C69" s="627">
        <v>1700</v>
      </c>
      <c r="D69" s="492"/>
      <c r="H69" s="42"/>
    </row>
    <row r="70" spans="1:12" s="1" customFormat="1">
      <c r="A70" s="835"/>
      <c r="B70" s="165" t="s">
        <v>603</v>
      </c>
      <c r="C70" s="627">
        <v>1900</v>
      </c>
      <c r="D70" s="492"/>
      <c r="H70" s="42"/>
    </row>
    <row r="71" spans="1:12" s="1" customFormat="1">
      <c r="A71" s="835"/>
      <c r="B71" s="165" t="s">
        <v>604</v>
      </c>
      <c r="C71" s="627">
        <v>2298</v>
      </c>
      <c r="D71" s="492"/>
      <c r="H71" s="42"/>
    </row>
    <row r="72" spans="1:12" s="1" customFormat="1">
      <c r="A72" s="835"/>
      <c r="B72" s="165" t="s">
        <v>1140</v>
      </c>
      <c r="C72" s="627"/>
      <c r="D72" s="492"/>
      <c r="H72" s="42"/>
    </row>
    <row r="73" spans="1:12" s="1" customFormat="1">
      <c r="A73" s="835"/>
      <c r="B73" s="165" t="s">
        <v>1139</v>
      </c>
      <c r="C73" s="627"/>
      <c r="D73" s="492"/>
      <c r="H73" s="42"/>
    </row>
    <row r="74" spans="1:12" s="1" customFormat="1">
      <c r="A74" s="835"/>
      <c r="B74" s="165" t="s">
        <v>1138</v>
      </c>
      <c r="C74" s="627"/>
      <c r="D74" s="492"/>
      <c r="H74" s="42"/>
    </row>
    <row r="75" spans="1:12" s="1" customFormat="1" ht="16.5" thickBot="1">
      <c r="A75" s="836"/>
      <c r="B75" s="157" t="s">
        <v>1137</v>
      </c>
      <c r="C75" s="628"/>
      <c r="D75" s="631"/>
      <c r="E75" s="486"/>
      <c r="F75" s="486"/>
      <c r="G75" s="486"/>
      <c r="H75" s="487"/>
    </row>
    <row r="76" spans="1:12" s="1" customFormat="1">
      <c r="A76" s="827" t="s">
        <v>844</v>
      </c>
      <c r="B76" s="206" t="s">
        <v>843</v>
      </c>
      <c r="C76" s="78"/>
      <c r="D76" s="79"/>
      <c r="E76" s="76"/>
      <c r="F76" s="76"/>
      <c r="G76" s="76"/>
      <c r="H76" s="114"/>
    </row>
    <row r="77" spans="1:12" s="1" customFormat="1">
      <c r="A77" s="827"/>
      <c r="B77" s="206" t="s">
        <v>674</v>
      </c>
      <c r="C77" s="78"/>
      <c r="D77" s="79"/>
      <c r="E77" s="76"/>
      <c r="F77" s="76"/>
      <c r="G77" s="76"/>
      <c r="H77" s="114"/>
    </row>
    <row r="78" spans="1:12" s="1" customFormat="1">
      <c r="A78" s="827"/>
      <c r="B78" s="206" t="s">
        <v>671</v>
      </c>
      <c r="C78" s="78"/>
      <c r="D78" s="79"/>
      <c r="E78" s="76"/>
      <c r="F78" s="76"/>
      <c r="G78" s="76"/>
      <c r="H78" s="114"/>
    </row>
    <row r="79" spans="1:12" s="1" customFormat="1">
      <c r="A79" s="827"/>
      <c r="B79" s="206" t="s">
        <v>842</v>
      </c>
      <c r="C79" s="78"/>
      <c r="D79" s="79"/>
      <c r="E79" s="76"/>
      <c r="F79" s="76"/>
      <c r="G79" s="76"/>
      <c r="H79" s="114"/>
    </row>
    <row r="80" spans="1:12" s="1" customFormat="1">
      <c r="A80" s="827"/>
      <c r="B80" s="206" t="s">
        <v>676</v>
      </c>
      <c r="C80" s="78"/>
      <c r="D80" s="79"/>
      <c r="E80" s="76"/>
      <c r="F80" s="76"/>
      <c r="G80" s="76"/>
      <c r="H80" s="114"/>
    </row>
    <row r="81" spans="1:10" s="1" customFormat="1">
      <c r="A81" s="827"/>
      <c r="B81" s="206" t="s">
        <v>677</v>
      </c>
      <c r="C81" s="78"/>
      <c r="D81" s="79"/>
      <c r="E81" s="76"/>
      <c r="F81" s="76"/>
      <c r="G81" s="76"/>
      <c r="H81" s="114"/>
    </row>
    <row r="82" spans="1:10" s="1" customFormat="1">
      <c r="A82" s="827"/>
      <c r="B82" s="206" t="s">
        <v>672</v>
      </c>
      <c r="C82" s="78"/>
      <c r="D82" s="79"/>
      <c r="E82" s="76"/>
      <c r="F82" s="76"/>
      <c r="G82" s="76"/>
      <c r="H82" s="114"/>
    </row>
    <row r="83" spans="1:10" s="1" customFormat="1" ht="16.5" thickBot="1">
      <c r="A83" s="828"/>
      <c r="B83" s="568" t="s">
        <v>673</v>
      </c>
      <c r="C83" s="569"/>
      <c r="D83" s="570"/>
      <c r="E83" s="571"/>
      <c r="F83" s="571"/>
      <c r="G83" s="571"/>
      <c r="H83" s="572"/>
    </row>
    <row r="84" spans="1:10">
      <c r="J84" s="331"/>
    </row>
    <row r="85" spans="1:10">
      <c r="J85" s="331"/>
    </row>
    <row r="86" spans="1:10">
      <c r="J86" s="331"/>
    </row>
    <row r="87" spans="1:10">
      <c r="A87" s="305"/>
      <c r="J87" s="317"/>
    </row>
    <row r="88" spans="1:10">
      <c r="J88" s="331"/>
    </row>
    <row r="89" spans="1:10">
      <c r="J89" s="331"/>
    </row>
    <row r="90" spans="1:10">
      <c r="J90" s="331"/>
    </row>
    <row r="91" spans="1:10">
      <c r="J91" s="331"/>
    </row>
    <row r="92" spans="1:10">
      <c r="J92" s="331" t="s">
        <v>197</v>
      </c>
    </row>
    <row r="93" spans="1:10">
      <c r="J93" s="331" t="s">
        <v>205</v>
      </c>
    </row>
    <row r="94" spans="1:10">
      <c r="J94" s="331" t="s">
        <v>19</v>
      </c>
    </row>
    <row r="95" spans="1:10">
      <c r="J95" s="331" t="s">
        <v>461</v>
      </c>
    </row>
    <row r="96" spans="1:10">
      <c r="J96" s="331" t="s">
        <v>186</v>
      </c>
    </row>
    <row r="97" spans="1:10">
      <c r="J97" s="331" t="s">
        <v>35</v>
      </c>
    </row>
    <row r="98" spans="1:10">
      <c r="J98" s="331" t="s">
        <v>400</v>
      </c>
    </row>
    <row r="99" spans="1:10">
      <c r="A99" s="317"/>
      <c r="J99" s="317" t="s">
        <v>402</v>
      </c>
    </row>
    <row r="100" spans="1:10">
      <c r="J100" s="331" t="s">
        <v>62</v>
      </c>
    </row>
    <row r="101" spans="1:10">
      <c r="J101" s="331" t="s">
        <v>180</v>
      </c>
    </row>
    <row r="102" spans="1:10">
      <c r="J102" s="331" t="s">
        <v>186</v>
      </c>
    </row>
    <row r="103" spans="1:10">
      <c r="J103" s="331"/>
    </row>
    <row r="104" spans="1:10">
      <c r="J104" s="331" t="s">
        <v>283</v>
      </c>
    </row>
    <row r="105" spans="1:10">
      <c r="J105" s="331" t="s">
        <v>31</v>
      </c>
    </row>
    <row r="106" spans="1:10">
      <c r="J106" s="331" t="s">
        <v>302</v>
      </c>
    </row>
    <row r="107" spans="1:10">
      <c r="J107" s="331" t="s">
        <v>161</v>
      </c>
    </row>
    <row r="108" spans="1:10">
      <c r="J108" s="331"/>
    </row>
    <row r="109" spans="1:10">
      <c r="J109" s="331" t="s">
        <v>113</v>
      </c>
    </row>
    <row r="110" spans="1:10">
      <c r="J110" s="331" t="s">
        <v>45</v>
      </c>
    </row>
    <row r="111" spans="1:10">
      <c r="J111" s="331"/>
    </row>
    <row r="112" spans="1:10">
      <c r="J112" s="331" t="s">
        <v>205</v>
      </c>
    </row>
    <row r="113" spans="10:10">
      <c r="J113" s="331" t="s">
        <v>216</v>
      </c>
    </row>
    <row r="114" spans="10:10">
      <c r="J114" s="331" t="s">
        <v>6</v>
      </c>
    </row>
    <row r="115" spans="10:10">
      <c r="J115" s="331" t="s">
        <v>277</v>
      </c>
    </row>
    <row r="116" spans="10:10">
      <c r="J116" s="331" t="s">
        <v>233</v>
      </c>
    </row>
    <row r="117" spans="10:10">
      <c r="J117" s="331" t="s">
        <v>186</v>
      </c>
    </row>
    <row r="118" spans="10:10">
      <c r="J118" s="331" t="s">
        <v>180</v>
      </c>
    </row>
    <row r="119" spans="10:10">
      <c r="J119" s="331" t="s">
        <v>67</v>
      </c>
    </row>
    <row r="120" spans="10:10">
      <c r="J120" s="331" t="s">
        <v>290</v>
      </c>
    </row>
    <row r="121" spans="10:10">
      <c r="J121" s="331"/>
    </row>
    <row r="122" spans="10:10">
      <c r="J122" s="331" t="s">
        <v>35</v>
      </c>
    </row>
    <row r="123" spans="10:10">
      <c r="J123" s="331" t="s">
        <v>3</v>
      </c>
    </row>
    <row r="124" spans="10:10">
      <c r="J124" s="331" t="s">
        <v>224</v>
      </c>
    </row>
    <row r="125" spans="10:10">
      <c r="J125" s="331" t="s">
        <v>403</v>
      </c>
    </row>
    <row r="126" spans="10:10">
      <c r="J126" s="331" t="s">
        <v>62</v>
      </c>
    </row>
    <row r="127" spans="10:10">
      <c r="J127" s="331" t="s">
        <v>180</v>
      </c>
    </row>
    <row r="128" spans="10:10">
      <c r="J128" s="331" t="s">
        <v>186</v>
      </c>
    </row>
    <row r="129" spans="10:10">
      <c r="J129" s="331"/>
    </row>
    <row r="130" spans="10:10">
      <c r="J130" s="331" t="s">
        <v>110</v>
      </c>
    </row>
    <row r="131" spans="10:10">
      <c r="J131" s="331" t="s">
        <v>225</v>
      </c>
    </row>
    <row r="132" spans="10:10">
      <c r="J132" s="331" t="s">
        <v>4</v>
      </c>
    </row>
    <row r="133" spans="10:10">
      <c r="J133" s="331" t="s">
        <v>32</v>
      </c>
    </row>
  </sheetData>
  <mergeCells count="20">
    <mergeCell ref="A1:H1"/>
    <mergeCell ref="A2:A18"/>
    <mergeCell ref="D7:E7"/>
    <mergeCell ref="G7:H7"/>
    <mergeCell ref="B17:B18"/>
    <mergeCell ref="C5:D5"/>
    <mergeCell ref="C6:D6"/>
    <mergeCell ref="F10:H10"/>
    <mergeCell ref="C3:H3"/>
    <mergeCell ref="C2:H2"/>
    <mergeCell ref="A20:A28"/>
    <mergeCell ref="A30:A40"/>
    <mergeCell ref="A42:A51"/>
    <mergeCell ref="F14:G14"/>
    <mergeCell ref="F15:H15"/>
    <mergeCell ref="I53:I59"/>
    <mergeCell ref="A64:A75"/>
    <mergeCell ref="D64:H64"/>
    <mergeCell ref="A76:A83"/>
    <mergeCell ref="A53:A62"/>
  </mergeCells>
  <phoneticPr fontId="16" type="noConversion"/>
  <pageMargins left="0.69972223043441772" right="0.69972223043441772" top="0.75" bottom="0.75" header="0.30000001192092896" footer="0.30000001192092896"/>
  <pageSetup paperSize="9" scale="53" orientation="portrait" horizontalDpi="4294967293" verticalDpi="4294967293" r:id="rId1"/>
  <rowBreaks count="2" manualBreakCount="2">
    <brk id="65" max="1048575" man="1"/>
    <brk id="89" max="1048575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rgb="FFFF0000"/>
  </sheetPr>
  <dimension ref="A1:Q87"/>
  <sheetViews>
    <sheetView showGridLines="0" topLeftCell="A52" zoomScale="85" zoomScaleNormal="85" zoomScaleSheetLayoutView="100" workbookViewId="0">
      <selection activeCell="I65" sqref="I65"/>
    </sheetView>
  </sheetViews>
  <sheetFormatPr defaultColWidth="13.4140625" defaultRowHeight="16"/>
  <cols>
    <col min="1" max="1" width="4.9140625" style="1" customWidth="1"/>
    <col min="2" max="2" width="17" style="2" customWidth="1"/>
    <col min="3" max="3" width="19.33203125" style="3" customWidth="1"/>
    <col min="4" max="4" width="18.25" style="4" bestFit="1" customWidth="1"/>
    <col min="5" max="5" width="18.1640625" style="1" customWidth="1"/>
    <col min="6" max="6" width="15.75" style="1" bestFit="1" customWidth="1"/>
    <col min="7" max="7" width="14" style="1" bestFit="1" customWidth="1"/>
    <col min="8" max="8" width="15.08203125" style="1" bestFit="1" customWidth="1"/>
    <col min="9" max="9" width="26.33203125" style="1" bestFit="1" customWidth="1"/>
    <col min="10" max="16384" width="13.4140625" style="1"/>
  </cols>
  <sheetData>
    <row r="1" spans="1:8" ht="31.5" customHeight="1">
      <c r="A1" s="913" t="s">
        <v>151</v>
      </c>
      <c r="B1" s="914"/>
      <c r="C1" s="914"/>
      <c r="D1" s="914"/>
      <c r="E1" s="914"/>
      <c r="F1" s="914"/>
      <c r="G1" s="914"/>
      <c r="H1" s="915"/>
    </row>
    <row r="2" spans="1:8">
      <c r="A2" s="875" t="s">
        <v>112</v>
      </c>
      <c r="B2" s="6" t="s">
        <v>420</v>
      </c>
      <c r="C2" s="7" t="s">
        <v>418</v>
      </c>
      <c r="D2" s="150"/>
      <c r="E2" s="9"/>
      <c r="F2" s="9"/>
      <c r="G2" s="9"/>
      <c r="H2" s="10"/>
    </row>
    <row r="3" spans="1:8">
      <c r="A3" s="876"/>
      <c r="B3" s="11" t="s">
        <v>471</v>
      </c>
      <c r="C3" s="856" t="s">
        <v>355</v>
      </c>
      <c r="D3" s="857"/>
      <c r="E3" s="14"/>
      <c r="F3" s="14"/>
      <c r="G3" s="14"/>
      <c r="H3" s="15"/>
    </row>
    <row r="4" spans="1:8">
      <c r="A4" s="876"/>
      <c r="B4" s="11" t="s">
        <v>407</v>
      </c>
      <c r="C4" s="856" t="s">
        <v>244</v>
      </c>
      <c r="D4" s="857"/>
      <c r="E4" s="14"/>
      <c r="F4" s="14"/>
      <c r="G4" s="14"/>
      <c r="H4" s="15"/>
    </row>
    <row r="5" spans="1:8">
      <c r="A5" s="827"/>
      <c r="B5" s="16" t="s">
        <v>99</v>
      </c>
      <c r="C5" s="151">
        <v>213059.6</v>
      </c>
      <c r="D5" s="858" t="s">
        <v>250</v>
      </c>
      <c r="E5" s="859"/>
      <c r="F5" s="250">
        <f>C5*0.3025/C7</f>
        <v>49.577330000000003</v>
      </c>
      <c r="G5" s="916" t="s">
        <v>522</v>
      </c>
      <c r="H5" s="917"/>
    </row>
    <row r="6" spans="1:8">
      <c r="A6" s="827"/>
      <c r="B6" s="16" t="s">
        <v>425</v>
      </c>
      <c r="C6" s="17">
        <v>33</v>
      </c>
      <c r="D6" s="18"/>
      <c r="E6" s="19"/>
      <c r="F6" s="19"/>
      <c r="G6" s="19"/>
      <c r="H6" s="20"/>
    </row>
    <row r="7" spans="1:8">
      <c r="A7" s="827"/>
      <c r="B7" s="16" t="s">
        <v>335</v>
      </c>
      <c r="C7" s="17">
        <v>1300</v>
      </c>
      <c r="D7" s="21" t="s">
        <v>39</v>
      </c>
      <c r="E7" s="22">
        <f>C7/C9</f>
        <v>0.39015606242496997</v>
      </c>
      <c r="F7" s="18"/>
      <c r="G7" s="19"/>
      <c r="H7" s="20"/>
    </row>
    <row r="8" spans="1:8">
      <c r="A8" s="827"/>
      <c r="B8" s="16" t="s">
        <v>54</v>
      </c>
      <c r="C8" s="249">
        <f>C9-C7</f>
        <v>2032</v>
      </c>
      <c r="D8" s="21" t="s">
        <v>145</v>
      </c>
      <c r="E8" s="251">
        <f>C8/C9</f>
        <v>0.60984393757502997</v>
      </c>
      <c r="F8" s="863" t="s">
        <v>29</v>
      </c>
      <c r="G8" s="864"/>
      <c r="H8" s="865"/>
    </row>
    <row r="9" spans="1:8">
      <c r="A9" s="827"/>
      <c r="B9" s="16" t="s">
        <v>150</v>
      </c>
      <c r="C9" s="17">
        <v>3332</v>
      </c>
      <c r="D9" s="23"/>
      <c r="E9" s="19"/>
      <c r="F9" s="19"/>
      <c r="G9" s="19"/>
      <c r="H9" s="20"/>
    </row>
    <row r="10" spans="1:8">
      <c r="A10" s="827"/>
      <c r="B10" s="16" t="s">
        <v>427</v>
      </c>
      <c r="C10" s="24">
        <v>0.13019999999999998</v>
      </c>
      <c r="D10" s="25" t="s">
        <v>84</v>
      </c>
      <c r="E10" s="26">
        <f>C5*C10</f>
        <v>27740.359919999995</v>
      </c>
      <c r="F10" s="27" t="s">
        <v>41</v>
      </c>
      <c r="G10" s="28">
        <f>E11/E10</f>
        <v>19.927803379416286</v>
      </c>
      <c r="H10" s="29"/>
    </row>
    <row r="11" spans="1:8">
      <c r="A11" s="827"/>
      <c r="B11" s="16" t="s">
        <v>466</v>
      </c>
      <c r="C11" s="24">
        <v>2.5945999999999998</v>
      </c>
      <c r="D11" s="25" t="s">
        <v>91</v>
      </c>
      <c r="E11" s="30">
        <f>C5*C11</f>
        <v>552804.43816000002</v>
      </c>
      <c r="F11" s="27" t="s">
        <v>209</v>
      </c>
      <c r="G11" s="28">
        <f>E11*76%</f>
        <v>420131.37300160003</v>
      </c>
      <c r="H11" s="31"/>
    </row>
    <row r="12" spans="1:8">
      <c r="A12" s="827"/>
      <c r="B12" s="16" t="s">
        <v>208</v>
      </c>
      <c r="C12" s="152" t="s">
        <v>418</v>
      </c>
      <c r="D12" s="18"/>
      <c r="E12" s="19"/>
      <c r="F12" s="858" t="s">
        <v>234</v>
      </c>
      <c r="G12" s="859"/>
      <c r="H12" s="55">
        <f>G11/C38</f>
        <v>1.5543668601677452</v>
      </c>
    </row>
    <row r="13" spans="1:8" ht="34" customHeight="1">
      <c r="A13" s="827"/>
      <c r="B13" s="16" t="s">
        <v>441</v>
      </c>
      <c r="C13" s="918" t="s">
        <v>803</v>
      </c>
      <c r="D13" s="919"/>
      <c r="E13" s="920"/>
      <c r="F13" s="863" t="s">
        <v>392</v>
      </c>
      <c r="G13" s="864"/>
      <c r="H13" s="865"/>
    </row>
    <row r="14" spans="1:8">
      <c r="A14" s="827"/>
      <c r="B14" s="32" t="s">
        <v>87</v>
      </c>
      <c r="C14" s="152" t="s">
        <v>804</v>
      </c>
      <c r="D14" s="153"/>
      <c r="E14" s="19"/>
      <c r="F14" s="19"/>
      <c r="G14" s="19"/>
      <c r="H14" s="20"/>
    </row>
    <row r="15" spans="1:8" ht="15" customHeight="1">
      <c r="A15" s="875"/>
      <c r="B15" s="844" t="s">
        <v>470</v>
      </c>
      <c r="C15" s="153"/>
      <c r="D15" s="154"/>
      <c r="E15" s="155"/>
      <c r="F15" s="155"/>
      <c r="G15" s="155"/>
      <c r="H15" s="156"/>
    </row>
    <row r="16" spans="1:8">
      <c r="A16" s="828"/>
      <c r="B16" s="844"/>
      <c r="C16" s="157"/>
      <c r="D16" s="36"/>
      <c r="E16" s="37"/>
      <c r="F16" s="37"/>
      <c r="G16" s="37"/>
      <c r="H16" s="38"/>
    </row>
    <row r="17" spans="1:8" ht="5.25" customHeight="1">
      <c r="A17" s="39"/>
      <c r="B17" s="40"/>
      <c r="C17" s="41"/>
      <c r="D17" s="41"/>
      <c r="H17" s="42"/>
    </row>
    <row r="18" spans="1:8" ht="32">
      <c r="A18" s="875" t="s">
        <v>49</v>
      </c>
      <c r="B18" s="43" t="s">
        <v>81</v>
      </c>
      <c r="C18" s="612" t="s">
        <v>795</v>
      </c>
      <c r="D18" s="45"/>
      <c r="E18" s="9"/>
      <c r="F18" s="9"/>
      <c r="G18" s="9"/>
      <c r="H18" s="10"/>
    </row>
    <row r="19" spans="1:8">
      <c r="A19" s="827"/>
      <c r="B19" s="25" t="s">
        <v>124</v>
      </c>
      <c r="C19" s="46" t="s">
        <v>796</v>
      </c>
      <c r="D19" s="47"/>
      <c r="E19" s="19"/>
      <c r="F19" s="19"/>
      <c r="G19" s="19"/>
      <c r="H19" s="20"/>
    </row>
    <row r="20" spans="1:8">
      <c r="A20" s="875"/>
      <c r="B20" s="25" t="s">
        <v>147</v>
      </c>
      <c r="C20" s="46" t="s">
        <v>797</v>
      </c>
      <c r="D20" s="47"/>
      <c r="E20" s="19"/>
      <c r="F20" s="19"/>
      <c r="G20" s="19"/>
      <c r="H20" s="20"/>
    </row>
    <row r="21" spans="1:8">
      <c r="A21" s="827"/>
      <c r="B21" s="25" t="s">
        <v>52</v>
      </c>
      <c r="C21" s="46" t="s">
        <v>1375</v>
      </c>
      <c r="D21" s="47"/>
      <c r="E21" s="19"/>
      <c r="F21" s="19"/>
      <c r="G21" s="19"/>
      <c r="H21" s="20"/>
    </row>
    <row r="22" spans="1:8">
      <c r="A22" s="827"/>
      <c r="B22" s="25" t="s">
        <v>95</v>
      </c>
      <c r="C22" s="25" t="s">
        <v>798</v>
      </c>
      <c r="D22" s="23"/>
      <c r="E22" s="19"/>
      <c r="F22" s="19"/>
      <c r="G22" s="19"/>
      <c r="H22" s="20"/>
    </row>
    <row r="23" spans="1:8">
      <c r="A23" s="827"/>
      <c r="B23" s="25" t="s">
        <v>73</v>
      </c>
      <c r="C23" s="25" t="s">
        <v>799</v>
      </c>
      <c r="D23" s="23"/>
      <c r="E23" s="19"/>
      <c r="F23" s="19"/>
      <c r="G23" s="19"/>
      <c r="H23" s="20"/>
    </row>
    <row r="24" spans="1:8">
      <c r="A24" s="827"/>
      <c r="B24" s="25" t="s">
        <v>177</v>
      </c>
      <c r="C24" s="25" t="s">
        <v>800</v>
      </c>
      <c r="D24" s="23"/>
      <c r="E24" s="19"/>
      <c r="F24" s="19"/>
      <c r="G24" s="19"/>
      <c r="H24" s="20"/>
    </row>
    <row r="25" spans="1:8">
      <c r="A25" s="827"/>
      <c r="B25" s="25" t="s">
        <v>167</v>
      </c>
      <c r="C25" s="25" t="s">
        <v>801</v>
      </c>
      <c r="D25" s="23"/>
      <c r="E25" s="19"/>
      <c r="F25" s="19"/>
      <c r="G25" s="19"/>
      <c r="H25" s="20"/>
    </row>
    <row r="26" spans="1:8">
      <c r="A26" s="828"/>
      <c r="B26" s="35" t="s">
        <v>447</v>
      </c>
      <c r="C26" s="35" t="s">
        <v>802</v>
      </c>
      <c r="D26" s="48"/>
      <c r="E26" s="37"/>
      <c r="F26" s="37"/>
      <c r="G26" s="37"/>
      <c r="H26" s="38"/>
    </row>
    <row r="27" spans="1:8" ht="5.25" customHeight="1">
      <c r="A27" s="39"/>
      <c r="B27" s="40"/>
      <c r="H27" s="42"/>
    </row>
    <row r="28" spans="1:8" s="5" customFormat="1" ht="13.5" customHeight="1">
      <c r="A28" s="875" t="s">
        <v>255</v>
      </c>
      <c r="B28" s="241" t="s">
        <v>101</v>
      </c>
      <c r="C28" s="242" t="s">
        <v>48</v>
      </c>
      <c r="D28" s="243" t="s">
        <v>125</v>
      </c>
      <c r="E28" s="243" t="s">
        <v>434</v>
      </c>
      <c r="F28" s="243" t="s">
        <v>414</v>
      </c>
      <c r="G28" s="369" t="s">
        <v>454</v>
      </c>
      <c r="H28" s="244" t="s">
        <v>470</v>
      </c>
    </row>
    <row r="29" spans="1:8">
      <c r="A29" s="827"/>
      <c r="B29" s="129" t="s">
        <v>417</v>
      </c>
      <c r="C29" s="53">
        <f>39*D29</f>
        <v>0</v>
      </c>
      <c r="D29" s="17"/>
      <c r="E29" s="17"/>
      <c r="F29" s="17"/>
      <c r="G29" s="159">
        <f t="shared" ref="G29:G37" si="0">D29/$D$38</f>
        <v>0</v>
      </c>
      <c r="H29" s="55"/>
    </row>
    <row r="30" spans="1:8">
      <c r="A30" s="827"/>
      <c r="B30" s="16" t="s">
        <v>88</v>
      </c>
      <c r="C30" s="53">
        <f>59*D30</f>
        <v>42067</v>
      </c>
      <c r="D30" s="17">
        <v>713</v>
      </c>
      <c r="E30" s="17"/>
      <c r="F30" s="160"/>
      <c r="G30" s="159">
        <f t="shared" si="0"/>
        <v>0.21398559423769509</v>
      </c>
      <c r="H30" s="55"/>
    </row>
    <row r="31" spans="1:8">
      <c r="A31" s="827"/>
      <c r="B31" s="16" t="s">
        <v>61</v>
      </c>
      <c r="C31" s="53">
        <f>59*D31</f>
        <v>8850</v>
      </c>
      <c r="D31" s="17">
        <v>150</v>
      </c>
      <c r="E31" s="17"/>
      <c r="F31" s="160"/>
      <c r="G31" s="159">
        <f t="shared" si="0"/>
        <v>4.5018007202881155E-2</v>
      </c>
      <c r="H31" s="55"/>
    </row>
    <row r="32" spans="1:8">
      <c r="A32" s="827"/>
      <c r="B32" s="16" t="s">
        <v>158</v>
      </c>
      <c r="C32" s="53">
        <f>69*D32</f>
        <v>34431</v>
      </c>
      <c r="D32" s="17">
        <v>499</v>
      </c>
      <c r="E32" s="17"/>
      <c r="F32" s="160"/>
      <c r="G32" s="159">
        <f t="shared" si="0"/>
        <v>0.14975990396158465</v>
      </c>
      <c r="H32" s="55"/>
    </row>
    <row r="33" spans="1:8">
      <c r="A33" s="827"/>
      <c r="B33" s="129" t="s">
        <v>211</v>
      </c>
      <c r="C33" s="53">
        <f>69*D33</f>
        <v>8832</v>
      </c>
      <c r="D33" s="17">
        <v>128</v>
      </c>
      <c r="E33" s="17"/>
      <c r="F33" s="160"/>
      <c r="G33" s="159">
        <f t="shared" si="0"/>
        <v>3.8415366146458581E-2</v>
      </c>
      <c r="H33" s="55"/>
    </row>
    <row r="34" spans="1:8">
      <c r="A34" s="827"/>
      <c r="B34" s="129" t="s">
        <v>86</v>
      </c>
      <c r="C34" s="53">
        <f>84*D34</f>
        <v>16548</v>
      </c>
      <c r="D34" s="17">
        <v>197</v>
      </c>
      <c r="E34" s="17"/>
      <c r="F34" s="160"/>
      <c r="G34" s="159">
        <f t="shared" si="0"/>
        <v>5.9123649459783913E-2</v>
      </c>
      <c r="H34" s="55"/>
    </row>
    <row r="35" spans="1:8">
      <c r="A35" s="827"/>
      <c r="B35" s="129" t="s">
        <v>155</v>
      </c>
      <c r="C35" s="53">
        <f>84*D35</f>
        <v>39060</v>
      </c>
      <c r="D35" s="17">
        <v>465</v>
      </c>
      <c r="E35" s="17"/>
      <c r="F35" s="160"/>
      <c r="G35" s="159">
        <f t="shared" si="0"/>
        <v>0.13955582232893157</v>
      </c>
      <c r="H35" s="55"/>
    </row>
    <row r="36" spans="1:8">
      <c r="A36" s="827"/>
      <c r="B36" s="129" t="s">
        <v>130</v>
      </c>
      <c r="C36" s="53">
        <f>101*D36</f>
        <v>100091</v>
      </c>
      <c r="D36" s="17">
        <v>991</v>
      </c>
      <c r="E36" s="17"/>
      <c r="F36" s="160"/>
      <c r="G36" s="159">
        <f t="shared" si="0"/>
        <v>0.29741896758703479</v>
      </c>
      <c r="H36" s="55"/>
    </row>
    <row r="37" spans="1:8">
      <c r="A37" s="875"/>
      <c r="B37" s="129" t="s">
        <v>182</v>
      </c>
      <c r="C37" s="53">
        <f>108*D37</f>
        <v>20412</v>
      </c>
      <c r="D37" s="17">
        <v>189</v>
      </c>
      <c r="E37" s="17"/>
      <c r="F37" s="160"/>
      <c r="G37" s="159">
        <f t="shared" si="0"/>
        <v>5.6722689075630252E-2</v>
      </c>
      <c r="H37" s="161"/>
    </row>
    <row r="38" spans="1:8">
      <c r="A38" s="828"/>
      <c r="B38" s="129" t="s">
        <v>462</v>
      </c>
      <c r="C38" s="57">
        <f>SUM(C29:C37)</f>
        <v>270291</v>
      </c>
      <c r="D38" s="57">
        <f>SUM(D29:D37)</f>
        <v>3332</v>
      </c>
      <c r="E38" s="57">
        <f>SUM(E30:E37)</f>
        <v>0</v>
      </c>
      <c r="F38" s="57">
        <f>SUM(F30:F37)</f>
        <v>0</v>
      </c>
      <c r="G38" s="135">
        <f>SUM(G29:G37)</f>
        <v>1</v>
      </c>
      <c r="H38" s="60"/>
    </row>
    <row r="39" spans="1:8" ht="4.5" customHeight="1">
      <c r="A39" s="39"/>
      <c r="B39" s="40"/>
      <c r="H39" s="42"/>
    </row>
    <row r="40" spans="1:8" s="2" customFormat="1">
      <c r="A40" s="879" t="s">
        <v>393</v>
      </c>
      <c r="B40" s="241" t="s">
        <v>360</v>
      </c>
      <c r="C40" s="243" t="s">
        <v>904</v>
      </c>
      <c r="D40" s="243" t="s">
        <v>905</v>
      </c>
      <c r="E40" s="243" t="s">
        <v>43</v>
      </c>
      <c r="F40" s="243" t="s">
        <v>906</v>
      </c>
      <c r="G40" s="245" t="s">
        <v>172</v>
      </c>
      <c r="H40" s="246" t="s">
        <v>470</v>
      </c>
    </row>
    <row r="41" spans="1:8" ht="16.5" customHeight="1">
      <c r="A41" s="880"/>
      <c r="B41" s="129" t="s">
        <v>417</v>
      </c>
      <c r="C41" s="62"/>
      <c r="D41" s="63"/>
      <c r="E41" s="252">
        <f>(D41-C41)*25</f>
        <v>0</v>
      </c>
      <c r="F41" s="63"/>
      <c r="G41" s="252">
        <f>(F41-C41)*25</f>
        <v>0</v>
      </c>
      <c r="H41" s="31"/>
    </row>
    <row r="42" spans="1:8" ht="16.5" customHeight="1">
      <c r="A42" s="880"/>
      <c r="B42" s="16" t="s">
        <v>88</v>
      </c>
      <c r="C42" s="62"/>
      <c r="D42" s="63"/>
      <c r="E42" s="252">
        <f>(D42-C42)*25</f>
        <v>0</v>
      </c>
      <c r="F42" s="63"/>
      <c r="G42" s="252">
        <f>(F42-C42)*25</f>
        <v>0</v>
      </c>
      <c r="H42" s="31"/>
    </row>
    <row r="43" spans="1:8" ht="16.5" customHeight="1">
      <c r="A43" s="880"/>
      <c r="B43" s="16" t="s">
        <v>61</v>
      </c>
      <c r="C43" s="62"/>
      <c r="D43" s="63"/>
      <c r="E43" s="252">
        <f>(D43-C43)*25</f>
        <v>0</v>
      </c>
      <c r="F43" s="63"/>
      <c r="G43" s="252">
        <f>(F43-C43)*25</f>
        <v>0</v>
      </c>
      <c r="H43" s="31"/>
    </row>
    <row r="44" spans="1:8" ht="16.5" customHeight="1">
      <c r="A44" s="880"/>
      <c r="B44" s="16" t="s">
        <v>158</v>
      </c>
      <c r="C44" s="62"/>
      <c r="D44" s="63"/>
      <c r="E44" s="252">
        <f>(D44-C44)*30</f>
        <v>0</v>
      </c>
      <c r="F44" s="63"/>
      <c r="G44" s="252">
        <f>(F44-C44)*30</f>
        <v>0</v>
      </c>
      <c r="H44" s="31"/>
    </row>
    <row r="45" spans="1:8" ht="16.5" customHeight="1">
      <c r="A45" s="880"/>
      <c r="B45" s="129" t="s">
        <v>211</v>
      </c>
      <c r="C45" s="162"/>
      <c r="D45" s="63"/>
      <c r="E45" s="252">
        <f>(D45-C45)*30</f>
        <v>0</v>
      </c>
      <c r="F45" s="63"/>
      <c r="G45" s="252">
        <f>(F45-C45)*30</f>
        <v>0</v>
      </c>
      <c r="H45" s="31"/>
    </row>
    <row r="46" spans="1:8" ht="16.5" customHeight="1">
      <c r="A46" s="880"/>
      <c r="B46" s="129" t="s">
        <v>86</v>
      </c>
      <c r="C46" s="725">
        <f>F46*70%</f>
        <v>15231999.999999998</v>
      </c>
      <c r="D46" s="63">
        <f>F46-2000000</f>
        <v>19760000</v>
      </c>
      <c r="E46" s="641">
        <f>(D46-C46)*34</f>
        <v>153952000.00000006</v>
      </c>
      <c r="F46" s="727">
        <v>21760000</v>
      </c>
      <c r="G46" s="641">
        <f>(F46-C46)*34</f>
        <v>221952000.00000006</v>
      </c>
      <c r="H46" s="320" t="s">
        <v>276</v>
      </c>
    </row>
    <row r="47" spans="1:8" ht="16.5" customHeight="1">
      <c r="A47" s="880"/>
      <c r="B47" s="129" t="s">
        <v>155</v>
      </c>
      <c r="C47" s="162"/>
      <c r="D47" s="63"/>
      <c r="E47" s="252">
        <f>(D47-C47)*34</f>
        <v>0</v>
      </c>
      <c r="F47" s="63"/>
      <c r="G47" s="252">
        <f>(F47-C47)*34</f>
        <v>0</v>
      </c>
      <c r="H47" s="31"/>
    </row>
    <row r="48" spans="1:8" ht="16.5" customHeight="1">
      <c r="A48" s="879"/>
      <c r="B48" s="129" t="s">
        <v>130</v>
      </c>
      <c r="C48" s="162"/>
      <c r="D48" s="63"/>
      <c r="E48" s="252">
        <f>(D48-C48)*39</f>
        <v>0</v>
      </c>
      <c r="F48" s="63"/>
      <c r="G48" s="252">
        <f>(F48-C48)*39</f>
        <v>0</v>
      </c>
      <c r="H48" s="163"/>
    </row>
    <row r="49" spans="1:17" ht="16.5" customHeight="1">
      <c r="A49" s="924" t="s">
        <v>393</v>
      </c>
      <c r="B49" s="164" t="s">
        <v>182</v>
      </c>
      <c r="C49" s="64"/>
      <c r="D49" s="65"/>
      <c r="E49" s="366">
        <f>(D49-C49)*45</f>
        <v>0</v>
      </c>
      <c r="F49" s="65"/>
      <c r="G49" s="366">
        <f>(F49-C49)*45</f>
        <v>0</v>
      </c>
      <c r="H49" s="66"/>
    </row>
    <row r="50" spans="1:17" ht="3.75" customHeight="1" thickBot="1"/>
    <row r="51" spans="1:17" ht="32">
      <c r="A51" s="921" t="s">
        <v>286</v>
      </c>
      <c r="B51" s="243" t="s">
        <v>101</v>
      </c>
      <c r="C51" s="511" t="s">
        <v>1198</v>
      </c>
      <c r="D51" s="247" t="s">
        <v>247</v>
      </c>
      <c r="E51" s="247" t="s">
        <v>235</v>
      </c>
      <c r="F51" s="247" t="s">
        <v>222</v>
      </c>
      <c r="G51" s="247" t="s">
        <v>367</v>
      </c>
      <c r="H51" s="243" t="s">
        <v>470</v>
      </c>
      <c r="I51" s="824" t="s">
        <v>1207</v>
      </c>
    </row>
    <row r="52" spans="1:17">
      <c r="A52" s="922"/>
      <c r="B52" s="213" t="s">
        <v>417</v>
      </c>
      <c r="C52" s="62" t="s">
        <v>436</v>
      </c>
      <c r="D52" s="63">
        <f t="shared" ref="D52:D60" si="1">E41</f>
        <v>0</v>
      </c>
      <c r="E52" s="252" t="e">
        <f t="shared" ref="E52:E60" si="2">D52-C52</f>
        <v>#VALUE!</v>
      </c>
      <c r="F52" s="63">
        <f t="shared" ref="F52:F60" si="3">G41</f>
        <v>0</v>
      </c>
      <c r="G52" s="252" t="e">
        <f t="shared" ref="G52:G60" si="4">F52-C52</f>
        <v>#VALUE!</v>
      </c>
      <c r="H52" s="54"/>
      <c r="I52" s="825"/>
    </row>
    <row r="53" spans="1:17">
      <c r="A53" s="922"/>
      <c r="B53" s="25" t="s">
        <v>88</v>
      </c>
      <c r="C53" s="62"/>
      <c r="D53" s="63">
        <f t="shared" si="1"/>
        <v>0</v>
      </c>
      <c r="E53" s="252">
        <f t="shared" si="2"/>
        <v>0</v>
      </c>
      <c r="F53" s="63">
        <f t="shared" si="3"/>
        <v>0</v>
      </c>
      <c r="G53" s="252">
        <f t="shared" si="4"/>
        <v>0</v>
      </c>
      <c r="H53" s="54"/>
      <c r="I53" s="825"/>
    </row>
    <row r="54" spans="1:17">
      <c r="A54" s="922"/>
      <c r="B54" s="25" t="s">
        <v>61</v>
      </c>
      <c r="C54" s="62"/>
      <c r="D54" s="63">
        <f t="shared" si="1"/>
        <v>0</v>
      </c>
      <c r="E54" s="252">
        <f t="shared" si="2"/>
        <v>0</v>
      </c>
      <c r="F54" s="63">
        <f t="shared" si="3"/>
        <v>0</v>
      </c>
      <c r="G54" s="252">
        <f t="shared" si="4"/>
        <v>0</v>
      </c>
      <c r="H54" s="54"/>
      <c r="I54" s="825"/>
    </row>
    <row r="55" spans="1:17">
      <c r="A55" s="922"/>
      <c r="B55" s="25" t="s">
        <v>158</v>
      </c>
      <c r="C55" s="62"/>
      <c r="D55" s="63">
        <f t="shared" si="1"/>
        <v>0</v>
      </c>
      <c r="E55" s="252">
        <f t="shared" si="2"/>
        <v>0</v>
      </c>
      <c r="F55" s="63">
        <f t="shared" si="3"/>
        <v>0</v>
      </c>
      <c r="G55" s="252">
        <f t="shared" si="4"/>
        <v>0</v>
      </c>
      <c r="H55" s="54"/>
      <c r="I55" s="825"/>
    </row>
    <row r="56" spans="1:17">
      <c r="A56" s="922"/>
      <c r="B56" s="213" t="s">
        <v>211</v>
      </c>
      <c r="C56" s="62"/>
      <c r="D56" s="63">
        <f t="shared" si="1"/>
        <v>0</v>
      </c>
      <c r="E56" s="252">
        <f t="shared" si="2"/>
        <v>0</v>
      </c>
      <c r="F56" s="63">
        <f t="shared" si="3"/>
        <v>0</v>
      </c>
      <c r="G56" s="252">
        <f t="shared" si="4"/>
        <v>0</v>
      </c>
      <c r="H56" s="54"/>
      <c r="I56" s="825"/>
    </row>
    <row r="57" spans="1:17" ht="17">
      <c r="A57" s="922"/>
      <c r="B57" s="213" t="s">
        <v>86</v>
      </c>
      <c r="C57" s="62">
        <v>420000000</v>
      </c>
      <c r="D57" s="63">
        <f t="shared" si="1"/>
        <v>153952000.00000006</v>
      </c>
      <c r="E57" s="641">
        <f t="shared" si="2"/>
        <v>-266047999.99999994</v>
      </c>
      <c r="F57" s="63">
        <f t="shared" si="3"/>
        <v>221952000.00000006</v>
      </c>
      <c r="G57" s="641">
        <f t="shared" si="4"/>
        <v>-198047999.99999994</v>
      </c>
      <c r="H57" s="62">
        <f>(C57+(C46*34))/34</f>
        <v>27584941.176470589</v>
      </c>
      <c r="I57" s="751">
        <f>H57/F46</f>
        <v>1.267690311418685</v>
      </c>
    </row>
    <row r="58" spans="1:17">
      <c r="A58" s="922"/>
      <c r="B58" s="213" t="s">
        <v>155</v>
      </c>
      <c r="C58" s="62"/>
      <c r="D58" s="63">
        <f t="shared" si="1"/>
        <v>0</v>
      </c>
      <c r="E58" s="252">
        <f t="shared" si="2"/>
        <v>0</v>
      </c>
      <c r="F58" s="63">
        <f t="shared" si="3"/>
        <v>0</v>
      </c>
      <c r="G58" s="252">
        <f t="shared" si="4"/>
        <v>0</v>
      </c>
      <c r="H58" s="54"/>
      <c r="I58" s="31"/>
    </row>
    <row r="59" spans="1:17">
      <c r="A59" s="922"/>
      <c r="B59" s="213" t="s">
        <v>130</v>
      </c>
      <c r="C59" s="62"/>
      <c r="D59" s="63">
        <f t="shared" si="1"/>
        <v>0</v>
      </c>
      <c r="E59" s="252">
        <f t="shared" si="2"/>
        <v>0</v>
      </c>
      <c r="F59" s="63">
        <f t="shared" si="3"/>
        <v>0</v>
      </c>
      <c r="G59" s="252">
        <f t="shared" si="4"/>
        <v>0</v>
      </c>
      <c r="H59" s="54"/>
      <c r="I59" s="31"/>
    </row>
    <row r="60" spans="1:17" ht="16.5" thickBot="1">
      <c r="A60" s="923"/>
      <c r="B60" s="175" t="s">
        <v>182</v>
      </c>
      <c r="C60" s="64"/>
      <c r="D60" s="65">
        <f t="shared" si="1"/>
        <v>0</v>
      </c>
      <c r="E60" s="366">
        <f t="shared" si="2"/>
        <v>0</v>
      </c>
      <c r="F60" s="65">
        <f t="shared" si="3"/>
        <v>0</v>
      </c>
      <c r="G60" s="366">
        <f t="shared" si="4"/>
        <v>0</v>
      </c>
      <c r="H60" s="619"/>
      <c r="I60" s="66"/>
    </row>
    <row r="61" spans="1:17" ht="4.5" customHeight="1" thickBot="1"/>
    <row r="62" spans="1:17">
      <c r="A62" s="833" t="s">
        <v>598</v>
      </c>
      <c r="B62" s="243" t="s">
        <v>599</v>
      </c>
      <c r="C62" s="242" t="s">
        <v>847</v>
      </c>
      <c r="D62" s="815" t="s">
        <v>600</v>
      </c>
      <c r="E62" s="816"/>
      <c r="F62" s="816"/>
      <c r="G62" s="816"/>
      <c r="H62" s="817"/>
      <c r="J62" s="5"/>
      <c r="K62" s="5"/>
      <c r="L62" s="5"/>
    </row>
    <row r="63" spans="1:17" ht="17">
      <c r="A63" s="834"/>
      <c r="B63" s="488" t="s">
        <v>612</v>
      </c>
      <c r="C63" s="625"/>
      <c r="D63" s="491"/>
      <c r="H63" s="42"/>
      <c r="J63" s="509"/>
      <c r="K63" s="509"/>
      <c r="L63" s="509"/>
    </row>
    <row r="64" spans="1:17" ht="17">
      <c r="A64" s="834"/>
      <c r="B64" s="165" t="s">
        <v>848</v>
      </c>
      <c r="C64" s="625">
        <v>1547</v>
      </c>
      <c r="D64" s="492"/>
      <c r="H64" s="42"/>
      <c r="J64" s="509"/>
      <c r="K64" s="509"/>
      <c r="L64" s="509">
        <v>1100</v>
      </c>
      <c r="M64" s="1">
        <v>34</v>
      </c>
      <c r="N64" s="1">
        <f>L64*M64</f>
        <v>37400</v>
      </c>
      <c r="O64" s="1">
        <v>5000</v>
      </c>
      <c r="P64" s="1">
        <f>N64+O64</f>
        <v>42400</v>
      </c>
      <c r="Q64" s="713">
        <f>P64/34</f>
        <v>1247.0588235294117</v>
      </c>
    </row>
    <row r="65" spans="1:17" ht="17">
      <c r="A65" s="834"/>
      <c r="B65" s="165" t="s">
        <v>597</v>
      </c>
      <c r="C65" s="626">
        <v>1635</v>
      </c>
      <c r="D65" s="492"/>
      <c r="H65" s="42"/>
      <c r="L65" s="509">
        <v>1100</v>
      </c>
      <c r="M65" s="1">
        <v>34</v>
      </c>
      <c r="N65" s="1">
        <f t="shared" ref="N65:N68" si="5">L65*M65</f>
        <v>37400</v>
      </c>
      <c r="O65" s="1">
        <v>8000</v>
      </c>
      <c r="P65" s="1">
        <f t="shared" ref="P65:P68" si="6">N65+O65</f>
        <v>45400</v>
      </c>
      <c r="Q65" s="713">
        <f t="shared" ref="Q65:Q68" si="7">P65/34</f>
        <v>1335.2941176470588</v>
      </c>
    </row>
    <row r="66" spans="1:17" ht="17">
      <c r="A66" s="835"/>
      <c r="B66" s="165" t="s">
        <v>601</v>
      </c>
      <c r="C66" s="627">
        <v>1841</v>
      </c>
      <c r="D66" s="492"/>
      <c r="H66" s="42"/>
      <c r="L66" s="509">
        <v>1100</v>
      </c>
      <c r="M66" s="1">
        <v>34</v>
      </c>
      <c r="N66" s="1">
        <f t="shared" si="5"/>
        <v>37400</v>
      </c>
      <c r="O66" s="1">
        <v>15000</v>
      </c>
      <c r="P66" s="1">
        <f t="shared" si="6"/>
        <v>52400</v>
      </c>
      <c r="Q66" s="713">
        <f t="shared" si="7"/>
        <v>1541.1764705882354</v>
      </c>
    </row>
    <row r="67" spans="1:17" ht="17">
      <c r="A67" s="835"/>
      <c r="B67" s="165" t="s">
        <v>602</v>
      </c>
      <c r="C67" s="627">
        <v>2194</v>
      </c>
      <c r="D67" s="492"/>
      <c r="H67" s="42"/>
      <c r="L67" s="509">
        <v>1100</v>
      </c>
      <c r="M67" s="1">
        <v>34</v>
      </c>
      <c r="N67" s="1">
        <f t="shared" si="5"/>
        <v>37400</v>
      </c>
      <c r="O67" s="1">
        <v>27000</v>
      </c>
      <c r="P67" s="1">
        <f t="shared" si="6"/>
        <v>64400</v>
      </c>
      <c r="Q67" s="713">
        <f t="shared" si="7"/>
        <v>1894.1176470588234</v>
      </c>
    </row>
    <row r="68" spans="1:17" ht="17">
      <c r="A68" s="835"/>
      <c r="B68" s="165" t="s">
        <v>603</v>
      </c>
      <c r="C68" s="627">
        <v>2223</v>
      </c>
      <c r="D68" s="492"/>
      <c r="H68" s="42"/>
      <c r="L68" s="509">
        <v>1100</v>
      </c>
      <c r="M68" s="1">
        <v>34</v>
      </c>
      <c r="N68" s="1">
        <f t="shared" si="5"/>
        <v>37400</v>
      </c>
      <c r="O68" s="1">
        <v>28000</v>
      </c>
      <c r="P68" s="1">
        <f t="shared" si="6"/>
        <v>65400</v>
      </c>
      <c r="Q68" s="713">
        <f t="shared" si="7"/>
        <v>1923.5294117647059</v>
      </c>
    </row>
    <row r="69" spans="1:17">
      <c r="A69" s="835"/>
      <c r="B69" s="165" t="s">
        <v>604</v>
      </c>
      <c r="C69" s="627">
        <v>2847</v>
      </c>
      <c r="D69" s="492"/>
      <c r="H69" s="42"/>
    </row>
    <row r="70" spans="1:17">
      <c r="A70" s="835"/>
      <c r="B70" s="165" t="s">
        <v>1140</v>
      </c>
      <c r="C70" s="627">
        <f>H57/10000</f>
        <v>2758.4941176470588</v>
      </c>
      <c r="D70" s="492"/>
      <c r="H70" s="42"/>
    </row>
    <row r="71" spans="1:17">
      <c r="A71" s="835"/>
      <c r="B71" s="165" t="s">
        <v>1141</v>
      </c>
      <c r="C71" s="627"/>
      <c r="D71" s="492"/>
      <c r="H71" s="42"/>
    </row>
    <row r="72" spans="1:17">
      <c r="A72" s="835"/>
      <c r="B72" s="165" t="s">
        <v>1142</v>
      </c>
      <c r="C72" s="627"/>
      <c r="D72" s="492"/>
      <c r="H72" s="42"/>
    </row>
    <row r="73" spans="1:17">
      <c r="A73" s="835"/>
      <c r="B73" s="165" t="s">
        <v>1137</v>
      </c>
      <c r="C73" s="627"/>
      <c r="D73" s="492"/>
      <c r="H73" s="42"/>
    </row>
    <row r="74" spans="1:17">
      <c r="A74" s="835"/>
      <c r="B74" s="165" t="s">
        <v>1143</v>
      </c>
      <c r="C74" s="627"/>
      <c r="D74" s="492"/>
      <c r="H74" s="42"/>
    </row>
    <row r="75" spans="1:17" ht="17.5" thickBot="1">
      <c r="A75" s="836"/>
      <c r="B75" s="490" t="s">
        <v>1144</v>
      </c>
      <c r="C75" s="628"/>
      <c r="D75" s="493"/>
      <c r="E75" s="486"/>
      <c r="F75" s="486"/>
      <c r="G75" s="486"/>
      <c r="H75" s="487"/>
    </row>
    <row r="76" spans="1:17">
      <c r="A76" s="827" t="s">
        <v>844</v>
      </c>
      <c r="B76" s="206" t="s">
        <v>845</v>
      </c>
      <c r="C76" s="78"/>
      <c r="D76" s="79"/>
      <c r="E76" s="76"/>
      <c r="F76" s="76"/>
      <c r="G76" s="76"/>
      <c r="H76" s="114"/>
    </row>
    <row r="77" spans="1:17">
      <c r="A77" s="827"/>
      <c r="B77" s="206" t="s">
        <v>674</v>
      </c>
      <c r="C77" s="78"/>
      <c r="D77" s="79"/>
      <c r="E77" s="76"/>
      <c r="F77" s="76"/>
      <c r="G77" s="76"/>
      <c r="H77" s="114"/>
    </row>
    <row r="78" spans="1:17">
      <c r="A78" s="827"/>
      <c r="B78" s="206" t="s">
        <v>671</v>
      </c>
      <c r="C78" s="78"/>
      <c r="D78" s="79"/>
      <c r="E78" s="76"/>
      <c r="F78" s="76"/>
      <c r="G78" s="76"/>
      <c r="H78" s="114"/>
    </row>
    <row r="79" spans="1:17">
      <c r="A79" s="827"/>
      <c r="B79" s="206" t="s">
        <v>842</v>
      </c>
      <c r="C79" s="78"/>
      <c r="D79" s="79"/>
      <c r="E79" s="76"/>
      <c r="F79" s="76"/>
      <c r="G79" s="76"/>
      <c r="H79" s="114"/>
    </row>
    <row r="80" spans="1:17">
      <c r="A80" s="827"/>
      <c r="B80" s="206" t="s">
        <v>676</v>
      </c>
      <c r="C80" s="78"/>
      <c r="D80" s="79"/>
      <c r="E80" s="76"/>
      <c r="F80" s="76"/>
      <c r="G80" s="76"/>
      <c r="H80" s="114"/>
    </row>
    <row r="81" spans="1:8">
      <c r="A81" s="827"/>
      <c r="B81" s="206" t="s">
        <v>677</v>
      </c>
      <c r="C81" s="78"/>
      <c r="D81" s="79"/>
      <c r="E81" s="76"/>
      <c r="F81" s="76"/>
      <c r="G81" s="76"/>
      <c r="H81" s="114"/>
    </row>
    <row r="82" spans="1:8">
      <c r="A82" s="827"/>
      <c r="B82" s="206" t="s">
        <v>672</v>
      </c>
      <c r="C82" s="78"/>
      <c r="D82" s="79"/>
      <c r="E82" s="76"/>
      <c r="F82" s="76"/>
      <c r="G82" s="76"/>
      <c r="H82" s="114"/>
    </row>
    <row r="83" spans="1:8" ht="16.5" thickBot="1">
      <c r="A83" s="828"/>
      <c r="B83" s="568" t="s">
        <v>846</v>
      </c>
      <c r="C83" s="569"/>
      <c r="D83" s="570"/>
      <c r="E83" s="571"/>
      <c r="F83" s="571"/>
      <c r="G83" s="571"/>
      <c r="H83" s="572"/>
    </row>
    <row r="85" spans="1:8">
      <c r="A85" s="1" t="s">
        <v>805</v>
      </c>
    </row>
    <row r="86" spans="1:8">
      <c r="A86" s="1" t="s">
        <v>806</v>
      </c>
    </row>
    <row r="87" spans="1:8">
      <c r="A87" s="1" t="s">
        <v>807</v>
      </c>
    </row>
  </sheetData>
  <mergeCells count="19">
    <mergeCell ref="A62:A75"/>
    <mergeCell ref="D62:H62"/>
    <mergeCell ref="A76:A83"/>
    <mergeCell ref="A51:A60"/>
    <mergeCell ref="A18:A26"/>
    <mergeCell ref="A28:A38"/>
    <mergeCell ref="A40:A49"/>
    <mergeCell ref="I51:I56"/>
    <mergeCell ref="A1:H1"/>
    <mergeCell ref="A2:A16"/>
    <mergeCell ref="C4:D4"/>
    <mergeCell ref="D5:E5"/>
    <mergeCell ref="G5:H5"/>
    <mergeCell ref="B15:B16"/>
    <mergeCell ref="C3:D3"/>
    <mergeCell ref="F12:G12"/>
    <mergeCell ref="F13:H13"/>
    <mergeCell ref="F8:H8"/>
    <mergeCell ref="C13:E13"/>
  </mergeCells>
  <phoneticPr fontId="16" type="noConversion"/>
  <pageMargins left="0.69972223043441772" right="0.69972223043441772" top="0.75" bottom="0.75" header="0.30000001192092896" footer="0.30000001192092896"/>
  <pageSetup paperSize="9" scale="77" orientation="portrait" horizontalDpi="4294967293" verticalDpi="4294967293" r:id="rId1"/>
  <rowBreaks count="1" manualBreakCount="1">
    <brk id="60" max="1048575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tabColor rgb="FF0000CC"/>
  </sheetPr>
  <dimension ref="A1:K91"/>
  <sheetViews>
    <sheetView showGridLines="0" topLeftCell="A59" zoomScale="85" zoomScaleNormal="85" zoomScaleSheetLayoutView="100" workbookViewId="0">
      <selection activeCell="I72" sqref="I72"/>
    </sheetView>
  </sheetViews>
  <sheetFormatPr defaultColWidth="13.4140625" defaultRowHeight="16"/>
  <cols>
    <col min="1" max="1" width="6.4140625" style="1" customWidth="1"/>
    <col min="2" max="2" width="18.6640625" style="2" bestFit="1" customWidth="1"/>
    <col min="3" max="3" width="24.08203125" style="3" customWidth="1"/>
    <col min="4" max="4" width="18.25" style="4" bestFit="1" customWidth="1"/>
    <col min="5" max="5" width="13.08203125" style="1" bestFit="1" customWidth="1"/>
    <col min="6" max="6" width="15.75" style="1" bestFit="1" customWidth="1"/>
    <col min="7" max="7" width="14" style="1" bestFit="1" customWidth="1"/>
    <col min="8" max="8" width="12.1640625" style="1" bestFit="1" customWidth="1"/>
    <col min="9" max="9" width="26.33203125" style="1" bestFit="1" customWidth="1"/>
    <col min="10" max="16384" width="13.4140625" style="1"/>
  </cols>
  <sheetData>
    <row r="1" spans="1:8" ht="31.5" customHeight="1">
      <c r="A1" s="927" t="s">
        <v>100</v>
      </c>
      <c r="B1" s="927"/>
      <c r="C1" s="927"/>
      <c r="D1" s="927"/>
      <c r="E1" s="927"/>
      <c r="F1" s="927"/>
      <c r="G1" s="927"/>
      <c r="H1" s="927"/>
    </row>
    <row r="2" spans="1:8">
      <c r="A2" s="875" t="s">
        <v>112</v>
      </c>
      <c r="B2" s="6" t="s">
        <v>420</v>
      </c>
      <c r="C2" s="7" t="s">
        <v>75</v>
      </c>
      <c r="D2" s="150"/>
      <c r="E2" s="9"/>
      <c r="F2" s="9"/>
      <c r="G2" s="9"/>
      <c r="H2" s="10"/>
    </row>
    <row r="3" spans="1:8">
      <c r="A3" s="876"/>
      <c r="B3" s="11" t="s">
        <v>471</v>
      </c>
      <c r="C3" s="856" t="s">
        <v>357</v>
      </c>
      <c r="D3" s="857"/>
      <c r="E3" s="14"/>
      <c r="F3" s="14"/>
      <c r="G3" s="14"/>
      <c r="H3" s="15"/>
    </row>
    <row r="4" spans="1:8">
      <c r="A4" s="876"/>
      <c r="B4" s="11" t="s">
        <v>407</v>
      </c>
      <c r="C4" s="856" t="s">
        <v>17</v>
      </c>
      <c r="D4" s="857"/>
      <c r="E4" s="14"/>
      <c r="F4" s="14"/>
      <c r="G4" s="14"/>
      <c r="H4" s="15"/>
    </row>
    <row r="5" spans="1:8">
      <c r="A5" s="875"/>
      <c r="B5" s="11" t="s">
        <v>58</v>
      </c>
      <c r="C5" s="856" t="s">
        <v>263</v>
      </c>
      <c r="D5" s="928"/>
      <c r="E5" s="14"/>
      <c r="F5" s="14"/>
      <c r="G5" s="14"/>
      <c r="H5" s="15"/>
    </row>
    <row r="6" spans="1:8">
      <c r="A6" s="876"/>
      <c r="B6" s="11" t="s">
        <v>53</v>
      </c>
      <c r="C6" s="856">
        <v>280440</v>
      </c>
      <c r="D6" s="857"/>
      <c r="E6" s="14"/>
      <c r="F6" s="14"/>
      <c r="G6" s="14"/>
      <c r="H6" s="15"/>
    </row>
    <row r="7" spans="1:8">
      <c r="A7" s="827"/>
      <c r="B7" s="16" t="s">
        <v>99</v>
      </c>
      <c r="C7" s="17">
        <v>405465</v>
      </c>
      <c r="D7" s="858" t="s">
        <v>231</v>
      </c>
      <c r="E7" s="859"/>
      <c r="F7" s="452">
        <f>C7*0.3025/C9</f>
        <v>46.284212264150938</v>
      </c>
      <c r="G7" s="860" t="s">
        <v>524</v>
      </c>
      <c r="H7" s="861"/>
    </row>
    <row r="8" spans="1:8">
      <c r="A8" s="827"/>
      <c r="B8" s="16" t="s">
        <v>425</v>
      </c>
      <c r="C8" s="17">
        <v>68</v>
      </c>
      <c r="D8" s="18"/>
      <c r="E8" s="19"/>
      <c r="F8" s="19"/>
      <c r="G8" s="19"/>
      <c r="H8" s="20"/>
    </row>
    <row r="9" spans="1:8">
      <c r="A9" s="827"/>
      <c r="B9" s="16" t="s">
        <v>335</v>
      </c>
      <c r="C9" s="17">
        <v>2650</v>
      </c>
      <c r="D9" s="21" t="s">
        <v>39</v>
      </c>
      <c r="E9" s="22">
        <f>C9/C11</f>
        <v>0.54004483391073976</v>
      </c>
      <c r="F9" s="18"/>
      <c r="G9" s="19"/>
      <c r="H9" s="20"/>
    </row>
    <row r="10" spans="1:8">
      <c r="A10" s="827"/>
      <c r="B10" s="16" t="s">
        <v>54</v>
      </c>
      <c r="C10" s="450">
        <f>C11-C9</f>
        <v>2257</v>
      </c>
      <c r="D10" s="21" t="s">
        <v>145</v>
      </c>
      <c r="E10" s="451">
        <f>C10/C11</f>
        <v>0.45995516608926024</v>
      </c>
      <c r="F10" s="863" t="s">
        <v>29</v>
      </c>
      <c r="G10" s="864"/>
      <c r="H10" s="865"/>
    </row>
    <row r="11" spans="1:8">
      <c r="A11" s="827"/>
      <c r="B11" s="16" t="s">
        <v>150</v>
      </c>
      <c r="C11" s="17">
        <v>4907</v>
      </c>
      <c r="D11" s="23"/>
      <c r="E11" s="19"/>
      <c r="F11" s="19"/>
      <c r="G11" s="19"/>
      <c r="H11" s="20"/>
    </row>
    <row r="12" spans="1:8">
      <c r="A12" s="827"/>
      <c r="B12" s="16" t="s">
        <v>427</v>
      </c>
      <c r="C12" s="24">
        <v>0.19899999999999998</v>
      </c>
      <c r="D12" s="25" t="s">
        <v>84</v>
      </c>
      <c r="E12" s="26">
        <f>C7*C12</f>
        <v>80687.534999999989</v>
      </c>
      <c r="F12" s="27" t="s">
        <v>41</v>
      </c>
      <c r="G12" s="28">
        <f>E13/E12</f>
        <v>11.548743718592966</v>
      </c>
      <c r="H12" s="29"/>
    </row>
    <row r="13" spans="1:8">
      <c r="A13" s="827"/>
      <c r="B13" s="16" t="s">
        <v>466</v>
      </c>
      <c r="C13" s="24">
        <v>2.2982</v>
      </c>
      <c r="D13" s="25" t="s">
        <v>91</v>
      </c>
      <c r="E13" s="30">
        <f>C7*C13</f>
        <v>931839.66300000006</v>
      </c>
      <c r="F13" s="27" t="s">
        <v>209</v>
      </c>
      <c r="G13" s="28">
        <f>E13*76%</f>
        <v>708198.14388000011</v>
      </c>
      <c r="H13" s="31"/>
    </row>
    <row r="14" spans="1:8">
      <c r="A14" s="827"/>
      <c r="B14" s="16" t="s">
        <v>208</v>
      </c>
      <c r="C14" s="152" t="s">
        <v>20</v>
      </c>
      <c r="D14" s="18"/>
      <c r="E14" s="19"/>
      <c r="F14" s="858" t="s">
        <v>234</v>
      </c>
      <c r="G14" s="859"/>
      <c r="H14" s="55">
        <f>G13/C42</f>
        <v>1.599215393064328</v>
      </c>
    </row>
    <row r="15" spans="1:8" ht="15" customHeight="1">
      <c r="A15" s="827"/>
      <c r="B15" s="16" t="s">
        <v>441</v>
      </c>
      <c r="C15" s="862" t="s">
        <v>128</v>
      </c>
      <c r="D15" s="862"/>
      <c r="E15" s="19"/>
      <c r="F15" s="863" t="s">
        <v>392</v>
      </c>
      <c r="G15" s="864"/>
      <c r="H15" s="865"/>
    </row>
    <row r="16" spans="1:8">
      <c r="A16" s="827"/>
      <c r="B16" s="32" t="s">
        <v>87</v>
      </c>
      <c r="C16" s="152" t="s">
        <v>418</v>
      </c>
      <c r="D16" s="606"/>
      <c r="E16" s="19"/>
      <c r="F16" s="19"/>
      <c r="G16" s="19"/>
      <c r="H16" s="20"/>
    </row>
    <row r="17" spans="1:8" ht="15" customHeight="1">
      <c r="A17" s="875"/>
      <c r="B17" s="844" t="s">
        <v>470</v>
      </c>
      <c r="C17" s="606"/>
      <c r="D17" s="154"/>
      <c r="E17" s="155"/>
      <c r="F17" s="155"/>
      <c r="G17" s="155"/>
      <c r="H17" s="156"/>
    </row>
    <row r="18" spans="1:8">
      <c r="A18" s="828"/>
      <c r="B18" s="844"/>
      <c r="C18" s="157" t="s">
        <v>1384</v>
      </c>
      <c r="D18" s="36"/>
      <c r="E18" s="37"/>
      <c r="F18" s="37"/>
      <c r="G18" s="37"/>
      <c r="H18" s="38"/>
    </row>
    <row r="19" spans="1:8" ht="5.25" customHeight="1">
      <c r="A19" s="39"/>
      <c r="B19" s="40"/>
      <c r="C19" s="41"/>
      <c r="D19" s="41"/>
      <c r="H19" s="42"/>
    </row>
    <row r="20" spans="1:8">
      <c r="A20" s="875" t="s">
        <v>49</v>
      </c>
      <c r="B20" s="43" t="s">
        <v>174</v>
      </c>
      <c r="C20" s="44" t="s">
        <v>341</v>
      </c>
      <c r="D20" s="45"/>
      <c r="E20" s="9"/>
      <c r="F20" s="9"/>
      <c r="G20" s="9"/>
      <c r="H20" s="10"/>
    </row>
    <row r="21" spans="1:8">
      <c r="A21" s="827"/>
      <c r="B21" s="25" t="s">
        <v>65</v>
      </c>
      <c r="C21" s="46" t="s">
        <v>366</v>
      </c>
      <c r="D21" s="47"/>
      <c r="E21" s="19"/>
      <c r="F21" s="19"/>
      <c r="G21" s="19"/>
      <c r="H21" s="20"/>
    </row>
    <row r="22" spans="1:8">
      <c r="A22" s="875"/>
      <c r="B22" s="25" t="s">
        <v>268</v>
      </c>
      <c r="C22" s="25" t="s">
        <v>330</v>
      </c>
      <c r="D22" s="47"/>
      <c r="E22" s="19"/>
      <c r="F22" s="19"/>
      <c r="G22" s="19"/>
      <c r="H22" s="20"/>
    </row>
    <row r="23" spans="1:8">
      <c r="A23" s="827"/>
      <c r="B23" s="25" t="s">
        <v>52</v>
      </c>
      <c r="C23" s="25" t="s">
        <v>339</v>
      </c>
      <c r="D23" s="47"/>
      <c r="E23" s="19"/>
      <c r="F23" s="19"/>
      <c r="G23" s="19"/>
      <c r="H23" s="20"/>
    </row>
    <row r="24" spans="1:8">
      <c r="A24" s="827"/>
      <c r="B24" s="25" t="s">
        <v>95</v>
      </c>
      <c r="C24" s="25" t="s">
        <v>745</v>
      </c>
      <c r="D24" s="23"/>
      <c r="E24" s="19"/>
      <c r="F24" s="19"/>
      <c r="G24" s="19"/>
      <c r="H24" s="20"/>
    </row>
    <row r="25" spans="1:8">
      <c r="A25" s="827"/>
      <c r="B25" s="25" t="s">
        <v>73</v>
      </c>
      <c r="C25" s="25" t="s">
        <v>746</v>
      </c>
      <c r="D25" s="23"/>
      <c r="E25" s="19"/>
      <c r="F25" s="19"/>
      <c r="G25" s="19"/>
      <c r="H25" s="20"/>
    </row>
    <row r="26" spans="1:8">
      <c r="A26" s="827"/>
      <c r="B26" s="25" t="s">
        <v>750</v>
      </c>
      <c r="C26" s="25" t="s">
        <v>747</v>
      </c>
      <c r="D26" s="23"/>
      <c r="E26" s="19"/>
      <c r="F26" s="19"/>
      <c r="G26" s="19"/>
      <c r="H26" s="20"/>
    </row>
    <row r="27" spans="1:8">
      <c r="A27" s="827"/>
      <c r="B27" s="25" t="s">
        <v>167</v>
      </c>
      <c r="C27" s="25" t="s">
        <v>748</v>
      </c>
      <c r="D27" s="23"/>
      <c r="E27" s="19"/>
      <c r="F27" s="19"/>
      <c r="G27" s="19"/>
      <c r="H27" s="20"/>
    </row>
    <row r="28" spans="1:8">
      <c r="A28" s="828"/>
      <c r="B28" s="25" t="s">
        <v>447</v>
      </c>
      <c r="C28" s="607" t="s">
        <v>749</v>
      </c>
      <c r="D28" s="48"/>
      <c r="E28" s="37"/>
      <c r="F28" s="37"/>
      <c r="G28" s="37"/>
      <c r="H28" s="38"/>
    </row>
    <row r="29" spans="1:8" ht="5.25" customHeight="1">
      <c r="A29" s="39"/>
      <c r="B29" s="40"/>
      <c r="H29" s="42"/>
    </row>
    <row r="30" spans="1:8" s="5" customFormat="1" ht="13.5" customHeight="1">
      <c r="A30" s="875" t="s">
        <v>160</v>
      </c>
      <c r="B30" s="241" t="s">
        <v>101</v>
      </c>
      <c r="C30" s="242" t="s">
        <v>48</v>
      </c>
      <c r="D30" s="243" t="s">
        <v>125</v>
      </c>
      <c r="E30" s="243" t="s">
        <v>434</v>
      </c>
      <c r="F30" s="243" t="s">
        <v>414</v>
      </c>
      <c r="G30" s="369" t="s">
        <v>454</v>
      </c>
      <c r="H30" s="244" t="s">
        <v>470</v>
      </c>
    </row>
    <row r="31" spans="1:8">
      <c r="A31" s="827"/>
      <c r="B31" s="16" t="s">
        <v>40</v>
      </c>
      <c r="C31" s="53">
        <f>39*D31</f>
        <v>16341</v>
      </c>
      <c r="D31" s="17">
        <v>419</v>
      </c>
      <c r="E31" s="17" t="s">
        <v>436</v>
      </c>
      <c r="F31" s="17" t="s">
        <v>436</v>
      </c>
      <c r="G31" s="159">
        <f t="shared" ref="G31:G41" si="0">D31/$D$42</f>
        <v>8.5388220908905646E-2</v>
      </c>
      <c r="H31" s="207" t="s">
        <v>449</v>
      </c>
    </row>
    <row r="32" spans="1:8">
      <c r="A32" s="876"/>
      <c r="B32" s="16" t="s">
        <v>88</v>
      </c>
      <c r="C32" s="53">
        <f>59*D32</f>
        <v>47672</v>
      </c>
      <c r="D32" s="17">
        <v>808</v>
      </c>
      <c r="E32" s="17" t="s">
        <v>436</v>
      </c>
      <c r="F32" s="17" t="s">
        <v>436</v>
      </c>
      <c r="G32" s="159">
        <f t="shared" si="0"/>
        <v>0.16466272671693499</v>
      </c>
      <c r="H32" s="207"/>
    </row>
    <row r="33" spans="1:8">
      <c r="A33" s="875"/>
      <c r="B33" s="16" t="s">
        <v>61</v>
      </c>
      <c r="C33" s="53">
        <f>59*D33</f>
        <v>5664</v>
      </c>
      <c r="D33" s="17">
        <v>96</v>
      </c>
      <c r="E33" s="17" t="s">
        <v>436</v>
      </c>
      <c r="F33" s="17" t="s">
        <v>436</v>
      </c>
      <c r="G33" s="159">
        <f t="shared" si="0"/>
        <v>1.9563888322804156E-2</v>
      </c>
      <c r="H33" s="207"/>
    </row>
    <row r="34" spans="1:8">
      <c r="A34" s="827"/>
      <c r="B34" s="16" t="s">
        <v>448</v>
      </c>
      <c r="C34" s="53">
        <f>74*D34</f>
        <v>33448</v>
      </c>
      <c r="D34" s="17">
        <v>452</v>
      </c>
      <c r="E34" s="17"/>
      <c r="F34" s="160"/>
      <c r="G34" s="159">
        <f t="shared" si="0"/>
        <v>9.2113307519869569E-2</v>
      </c>
      <c r="H34" s="207"/>
    </row>
    <row r="35" spans="1:8">
      <c r="A35" s="827"/>
      <c r="B35" s="129" t="s">
        <v>86</v>
      </c>
      <c r="C35" s="53">
        <f>84*D35</f>
        <v>83916</v>
      </c>
      <c r="D35" s="17">
        <v>999</v>
      </c>
      <c r="E35" s="17"/>
      <c r="F35" s="160"/>
      <c r="G35" s="159">
        <f t="shared" si="0"/>
        <v>0.20358671285918076</v>
      </c>
      <c r="H35" s="207"/>
    </row>
    <row r="36" spans="1:8">
      <c r="A36" s="827"/>
      <c r="B36" s="129" t="s">
        <v>155</v>
      </c>
      <c r="C36" s="53">
        <f>84*D36</f>
        <v>96684</v>
      </c>
      <c r="D36" s="17">
        <v>1151</v>
      </c>
      <c r="E36" s="17"/>
      <c r="F36" s="160"/>
      <c r="G36" s="159">
        <f t="shared" si="0"/>
        <v>0.23456286937028734</v>
      </c>
      <c r="H36" s="207"/>
    </row>
    <row r="37" spans="1:8">
      <c r="A37" s="875"/>
      <c r="B37" s="129" t="s">
        <v>138</v>
      </c>
      <c r="C37" s="53">
        <f>84*D37</f>
        <v>7728</v>
      </c>
      <c r="D37" s="17">
        <v>92</v>
      </c>
      <c r="E37" s="17"/>
      <c r="F37" s="160"/>
      <c r="G37" s="159">
        <f t="shared" si="0"/>
        <v>1.8748726309353984E-2</v>
      </c>
      <c r="H37" s="207"/>
    </row>
    <row r="38" spans="1:8">
      <c r="A38" s="827"/>
      <c r="B38" s="129" t="s">
        <v>192</v>
      </c>
      <c r="C38" s="53">
        <f>112*D38</f>
        <v>67424</v>
      </c>
      <c r="D38" s="17">
        <v>602</v>
      </c>
      <c r="E38" s="17"/>
      <c r="F38" s="160"/>
      <c r="G38" s="159">
        <f t="shared" si="0"/>
        <v>0.12268188302425106</v>
      </c>
      <c r="H38" s="207"/>
    </row>
    <row r="39" spans="1:8">
      <c r="A39" s="827"/>
      <c r="B39" s="129" t="s">
        <v>185</v>
      </c>
      <c r="C39" s="53">
        <f>135*D39</f>
        <v>58725</v>
      </c>
      <c r="D39" s="17">
        <v>435</v>
      </c>
      <c r="E39" s="17"/>
      <c r="F39" s="160"/>
      <c r="G39" s="159">
        <f t="shared" si="0"/>
        <v>8.8648868962706337E-2</v>
      </c>
      <c r="H39" s="207"/>
    </row>
    <row r="40" spans="1:8">
      <c r="A40" s="827"/>
      <c r="B40" s="129" t="s">
        <v>214</v>
      </c>
      <c r="C40" s="53">
        <f>153*D40</f>
        <v>39780</v>
      </c>
      <c r="D40" s="17">
        <v>260</v>
      </c>
      <c r="E40" s="17"/>
      <c r="F40" s="160"/>
      <c r="G40" s="159">
        <f t="shared" si="0"/>
        <v>5.2985530874261257E-2</v>
      </c>
      <c r="H40" s="207"/>
    </row>
    <row r="41" spans="1:8">
      <c r="A41" s="875"/>
      <c r="B41" s="129" t="s">
        <v>80</v>
      </c>
      <c r="C41" s="53">
        <f>150*D41</f>
        <v>1800</v>
      </c>
      <c r="D41" s="17">
        <v>12</v>
      </c>
      <c r="E41" s="17"/>
      <c r="F41" s="160"/>
      <c r="G41" s="159">
        <f t="shared" si="0"/>
        <v>2.4454860403505196E-3</v>
      </c>
      <c r="H41" s="207"/>
    </row>
    <row r="42" spans="1:8">
      <c r="A42" s="828"/>
      <c r="B42" s="129" t="s">
        <v>462</v>
      </c>
      <c r="C42" s="57">
        <f>SUM(C32:C41)</f>
        <v>442841</v>
      </c>
      <c r="D42" s="57">
        <f>SUM(D32:D41)</f>
        <v>4907</v>
      </c>
      <c r="E42" s="57">
        <f>SUM(E34:E41)</f>
        <v>0</v>
      </c>
      <c r="F42" s="57">
        <f>SUM(F34:F41)</f>
        <v>0</v>
      </c>
      <c r="G42" s="135">
        <f>SUM(G32:G41)</f>
        <v>1</v>
      </c>
      <c r="H42" s="208"/>
    </row>
    <row r="43" spans="1:8" ht="6" customHeight="1">
      <c r="A43" s="39"/>
      <c r="B43" s="40"/>
      <c r="H43" s="42"/>
    </row>
    <row r="44" spans="1:8" s="2" customFormat="1">
      <c r="A44" s="879" t="s">
        <v>5</v>
      </c>
      <c r="B44" s="241" t="s">
        <v>360</v>
      </c>
      <c r="C44" s="243" t="s">
        <v>904</v>
      </c>
      <c r="D44" s="243" t="s">
        <v>905</v>
      </c>
      <c r="E44" s="243" t="s">
        <v>43</v>
      </c>
      <c r="F44" s="243" t="s">
        <v>906</v>
      </c>
      <c r="G44" s="245" t="s">
        <v>172</v>
      </c>
      <c r="H44" s="246" t="s">
        <v>470</v>
      </c>
    </row>
    <row r="45" spans="1:8" ht="16.5" customHeight="1">
      <c r="A45" s="880"/>
      <c r="B45" s="16" t="s">
        <v>40</v>
      </c>
      <c r="C45" s="62"/>
      <c r="D45" s="63"/>
      <c r="E45" s="252"/>
      <c r="F45" s="63"/>
      <c r="G45" s="252"/>
      <c r="H45" s="31" t="s">
        <v>449</v>
      </c>
    </row>
    <row r="46" spans="1:8" ht="16.5" customHeight="1">
      <c r="A46" s="879"/>
      <c r="B46" s="16" t="s">
        <v>88</v>
      </c>
      <c r="C46" s="62"/>
      <c r="D46" s="63"/>
      <c r="E46" s="252">
        <f>(D46-C46)*25</f>
        <v>0</v>
      </c>
      <c r="F46" s="63"/>
      <c r="G46" s="252">
        <f>(F46-C46)*25</f>
        <v>0</v>
      </c>
      <c r="H46" s="31"/>
    </row>
    <row r="47" spans="1:8" ht="16.5" customHeight="1">
      <c r="A47" s="880"/>
      <c r="B47" s="16" t="s">
        <v>61</v>
      </c>
      <c r="C47" s="62"/>
      <c r="D47" s="63"/>
      <c r="E47" s="252">
        <f>(D47-C47)*25</f>
        <v>0</v>
      </c>
      <c r="F47" s="63"/>
      <c r="G47" s="252">
        <f>(F47-C47)*25</f>
        <v>0</v>
      </c>
      <c r="H47" s="31"/>
    </row>
    <row r="48" spans="1:8" ht="16.5" customHeight="1">
      <c r="A48" s="880"/>
      <c r="B48" s="16" t="s">
        <v>448</v>
      </c>
      <c r="C48" s="62"/>
      <c r="D48" s="63"/>
      <c r="E48" s="252">
        <f>(D48-C48)*31</f>
        <v>0</v>
      </c>
      <c r="F48" s="63"/>
      <c r="G48" s="252">
        <f>(F48-C48)*31</f>
        <v>0</v>
      </c>
      <c r="H48" s="31"/>
    </row>
    <row r="49" spans="1:9" ht="16.5" customHeight="1">
      <c r="A49" s="880"/>
      <c r="B49" s="129" t="s">
        <v>86</v>
      </c>
      <c r="C49" s="724">
        <f>F49*70%</f>
        <v>19250000</v>
      </c>
      <c r="D49" s="63">
        <f>F49-2000000</f>
        <v>25500000</v>
      </c>
      <c r="E49" s="252">
        <f>(D49-C49)*34</f>
        <v>212500000</v>
      </c>
      <c r="F49" s="723">
        <v>27500000</v>
      </c>
      <c r="G49" s="252">
        <f>(F49-C49)*34</f>
        <v>280500000</v>
      </c>
      <c r="H49" s="31" t="s">
        <v>79</v>
      </c>
    </row>
    <row r="50" spans="1:9" ht="16.5" customHeight="1">
      <c r="A50" s="880"/>
      <c r="B50" s="129" t="s">
        <v>155</v>
      </c>
      <c r="C50" s="62"/>
      <c r="D50" s="63"/>
      <c r="E50" s="252">
        <f>(D50-C50)*34</f>
        <v>0</v>
      </c>
      <c r="F50" s="63"/>
      <c r="G50" s="252">
        <f>(F50-C50)*34</f>
        <v>0</v>
      </c>
      <c r="H50" s="31"/>
    </row>
    <row r="51" spans="1:9" ht="16.5" customHeight="1">
      <c r="A51" s="880"/>
      <c r="B51" s="129" t="s">
        <v>138</v>
      </c>
      <c r="C51" s="62"/>
      <c r="D51" s="63"/>
      <c r="E51" s="252">
        <f>(D51-C51)*34</f>
        <v>0</v>
      </c>
      <c r="F51" s="63"/>
      <c r="G51" s="252">
        <f>(F51-C51)*34</f>
        <v>0</v>
      </c>
      <c r="H51" s="31"/>
    </row>
    <row r="52" spans="1:9" ht="16.5" customHeight="1">
      <c r="A52" s="880"/>
      <c r="B52" s="129" t="s">
        <v>192</v>
      </c>
      <c r="C52" s="62"/>
      <c r="D52" s="63"/>
      <c r="E52" s="252">
        <f>(D52-C52)*42</f>
        <v>0</v>
      </c>
      <c r="F52" s="63"/>
      <c r="G52" s="252">
        <f>(F52-C52)*42</f>
        <v>0</v>
      </c>
      <c r="H52" s="31"/>
    </row>
    <row r="53" spans="1:9" ht="16.5" customHeight="1">
      <c r="A53" s="879" t="s">
        <v>393</v>
      </c>
      <c r="B53" s="129" t="s">
        <v>185</v>
      </c>
      <c r="C53" s="62"/>
      <c r="D53" s="63"/>
      <c r="E53" s="252">
        <f>(D53-C53)*49</f>
        <v>0</v>
      </c>
      <c r="F53" s="63"/>
      <c r="G53" s="252">
        <f>(F53-C53)*49</f>
        <v>0</v>
      </c>
      <c r="H53" s="163"/>
    </row>
    <row r="54" spans="1:9" ht="16.5" customHeight="1" thickBot="1">
      <c r="A54" s="925"/>
      <c r="B54" s="129" t="s">
        <v>214</v>
      </c>
      <c r="C54" s="62"/>
      <c r="D54" s="63"/>
      <c r="E54" s="252">
        <f>(D54-C54)*54</f>
        <v>0</v>
      </c>
      <c r="F54" s="63"/>
      <c r="G54" s="252">
        <f>(F54-C54)*54</f>
        <v>0</v>
      </c>
      <c r="H54" s="163"/>
    </row>
    <row r="55" spans="1:9" ht="5.25" customHeight="1" thickBot="1">
      <c r="A55" s="209"/>
      <c r="B55" s="143"/>
      <c r="C55" s="144"/>
      <c r="D55" s="144"/>
      <c r="E55" s="144"/>
      <c r="F55" s="144"/>
      <c r="G55" s="144"/>
      <c r="H55" s="146"/>
    </row>
    <row r="56" spans="1:9" ht="58">
      <c r="A56" s="921" t="s">
        <v>286</v>
      </c>
      <c r="B56" s="243" t="s">
        <v>101</v>
      </c>
      <c r="C56" s="508" t="s">
        <v>1395</v>
      </c>
      <c r="D56" s="247" t="s">
        <v>247</v>
      </c>
      <c r="E56" s="247" t="s">
        <v>322</v>
      </c>
      <c r="F56" s="247" t="s">
        <v>222</v>
      </c>
      <c r="G56" s="247" t="s">
        <v>367</v>
      </c>
      <c r="H56" s="243" t="s">
        <v>1136</v>
      </c>
      <c r="I56" s="824" t="s">
        <v>1206</v>
      </c>
    </row>
    <row r="57" spans="1:9">
      <c r="A57" s="926"/>
      <c r="B57" s="25" t="s">
        <v>40</v>
      </c>
      <c r="C57" s="62" t="s">
        <v>436</v>
      </c>
      <c r="D57" s="63">
        <f>E45</f>
        <v>0</v>
      </c>
      <c r="E57" s="252" t="e">
        <f t="shared" ref="E57:E66" si="1">D57-C57</f>
        <v>#VALUE!</v>
      </c>
      <c r="F57" s="63">
        <f>G45</f>
        <v>0</v>
      </c>
      <c r="G57" s="252" t="e">
        <f t="shared" ref="G57:G66" si="2">F57-C57</f>
        <v>#VALUE!</v>
      </c>
      <c r="H57" s="54"/>
      <c r="I57" s="825"/>
    </row>
    <row r="58" spans="1:9">
      <c r="A58" s="922"/>
      <c r="B58" s="25" t="s">
        <v>88</v>
      </c>
      <c r="C58" s="62"/>
      <c r="D58" s="63"/>
      <c r="E58" s="252">
        <f t="shared" si="1"/>
        <v>0</v>
      </c>
      <c r="F58" s="63"/>
      <c r="G58" s="252">
        <f t="shared" si="2"/>
        <v>0</v>
      </c>
      <c r="H58" s="54"/>
      <c r="I58" s="825"/>
    </row>
    <row r="59" spans="1:9">
      <c r="A59" s="926"/>
      <c r="B59" s="25" t="s">
        <v>61</v>
      </c>
      <c r="C59" s="62"/>
      <c r="D59" s="63"/>
      <c r="E59" s="252">
        <f t="shared" si="1"/>
        <v>0</v>
      </c>
      <c r="F59" s="63"/>
      <c r="G59" s="252">
        <f t="shared" si="2"/>
        <v>0</v>
      </c>
      <c r="H59" s="54"/>
      <c r="I59" s="825"/>
    </row>
    <row r="60" spans="1:9">
      <c r="A60" s="926"/>
      <c r="B60" s="25" t="s">
        <v>448</v>
      </c>
      <c r="C60" s="62"/>
      <c r="D60" s="63"/>
      <c r="E60" s="252">
        <f t="shared" si="1"/>
        <v>0</v>
      </c>
      <c r="F60" s="63"/>
      <c r="G60" s="252">
        <f t="shared" si="2"/>
        <v>0</v>
      </c>
      <c r="H60" s="54"/>
      <c r="I60" s="825"/>
    </row>
    <row r="61" spans="1:9" ht="17">
      <c r="A61" s="926"/>
      <c r="B61" s="213" t="s">
        <v>86</v>
      </c>
      <c r="C61" s="62">
        <v>380000000</v>
      </c>
      <c r="D61" s="63">
        <f>E49</f>
        <v>212500000</v>
      </c>
      <c r="E61" s="252">
        <f t="shared" si="1"/>
        <v>-167500000</v>
      </c>
      <c r="F61" s="63">
        <f>G49</f>
        <v>280500000</v>
      </c>
      <c r="G61" s="252">
        <f t="shared" si="2"/>
        <v>-99500000</v>
      </c>
      <c r="H61" s="62">
        <f>(C61+(C49*34))/34</f>
        <v>30426470.588235293</v>
      </c>
      <c r="I61" s="751">
        <f>H61/F49</f>
        <v>1.1064171122994653</v>
      </c>
    </row>
    <row r="62" spans="1:9">
      <c r="A62" s="926"/>
      <c r="B62" s="213" t="s">
        <v>155</v>
      </c>
      <c r="C62" s="62"/>
      <c r="D62" s="63"/>
      <c r="E62" s="252">
        <f t="shared" si="1"/>
        <v>0</v>
      </c>
      <c r="F62" s="63"/>
      <c r="G62" s="252">
        <f t="shared" si="2"/>
        <v>0</v>
      </c>
      <c r="H62" s="54"/>
      <c r="I62" s="31"/>
    </row>
    <row r="63" spans="1:9">
      <c r="A63" s="926"/>
      <c r="B63" s="213" t="s">
        <v>138</v>
      </c>
      <c r="C63" s="62"/>
      <c r="D63" s="63"/>
      <c r="E63" s="252">
        <f t="shared" si="1"/>
        <v>0</v>
      </c>
      <c r="F63" s="63"/>
      <c r="G63" s="252">
        <f t="shared" si="2"/>
        <v>0</v>
      </c>
      <c r="H63" s="54"/>
      <c r="I63" s="31"/>
    </row>
    <row r="64" spans="1:9">
      <c r="A64" s="926"/>
      <c r="B64" s="213" t="s">
        <v>192</v>
      </c>
      <c r="C64" s="62"/>
      <c r="D64" s="63"/>
      <c r="E64" s="252">
        <f t="shared" si="1"/>
        <v>0</v>
      </c>
      <c r="F64" s="63"/>
      <c r="G64" s="252">
        <f t="shared" si="2"/>
        <v>0</v>
      </c>
      <c r="H64" s="54"/>
      <c r="I64" s="31"/>
    </row>
    <row r="65" spans="1:11">
      <c r="A65" s="922" t="s">
        <v>393</v>
      </c>
      <c r="B65" s="213" t="s">
        <v>185</v>
      </c>
      <c r="C65" s="62"/>
      <c r="D65" s="63"/>
      <c r="E65" s="252">
        <f t="shared" si="1"/>
        <v>0</v>
      </c>
      <c r="F65" s="63"/>
      <c r="G65" s="252">
        <f t="shared" si="2"/>
        <v>0</v>
      </c>
      <c r="H65" s="54"/>
      <c r="I65" s="31"/>
    </row>
    <row r="66" spans="1:11" ht="16.5" thickBot="1">
      <c r="A66" s="923"/>
      <c r="B66" s="175" t="s">
        <v>214</v>
      </c>
      <c r="C66" s="64"/>
      <c r="D66" s="65"/>
      <c r="E66" s="366">
        <f t="shared" si="1"/>
        <v>0</v>
      </c>
      <c r="F66" s="65"/>
      <c r="G66" s="366">
        <f t="shared" si="2"/>
        <v>0</v>
      </c>
      <c r="H66" s="619"/>
      <c r="I66" s="66"/>
    </row>
    <row r="67" spans="1:11" ht="3.65" customHeight="1" thickBot="1">
      <c r="A67" s="39"/>
      <c r="H67" s="42"/>
    </row>
    <row r="68" spans="1:11" ht="22.75" customHeight="1">
      <c r="A68" s="833" t="s">
        <v>598</v>
      </c>
      <c r="B68" s="243" t="s">
        <v>599</v>
      </c>
      <c r="C68" s="242" t="s">
        <v>857</v>
      </c>
      <c r="D68" s="815" t="s">
        <v>600</v>
      </c>
      <c r="E68" s="816"/>
      <c r="F68" s="816"/>
      <c r="G68" s="816"/>
      <c r="H68" s="817"/>
      <c r="I68" s="5"/>
      <c r="J68" s="5"/>
      <c r="K68" s="5"/>
    </row>
    <row r="69" spans="1:11" ht="22.75" customHeight="1">
      <c r="A69" s="834"/>
      <c r="B69" s="488" t="s">
        <v>615</v>
      </c>
      <c r="C69" s="708">
        <v>1300</v>
      </c>
      <c r="D69" s="491"/>
      <c r="H69" s="42"/>
      <c r="I69" s="509"/>
      <c r="J69" s="509"/>
      <c r="K69" s="509"/>
    </row>
    <row r="70" spans="1:11" ht="22.75" customHeight="1">
      <c r="A70" s="834"/>
      <c r="B70" s="165" t="s">
        <v>596</v>
      </c>
      <c r="C70" s="708">
        <v>1400</v>
      </c>
      <c r="D70" s="492"/>
      <c r="H70" s="42"/>
      <c r="I70" s="509"/>
      <c r="J70" s="509"/>
      <c r="K70" s="509"/>
    </row>
    <row r="71" spans="1:11" ht="22.75" customHeight="1">
      <c r="A71" s="834"/>
      <c r="B71" s="165" t="s">
        <v>597</v>
      </c>
      <c r="C71" s="626">
        <v>1500</v>
      </c>
      <c r="D71" s="492"/>
      <c r="H71" s="42"/>
    </row>
    <row r="72" spans="1:11" ht="22.75" customHeight="1">
      <c r="A72" s="835"/>
      <c r="B72" s="165" t="s">
        <v>601</v>
      </c>
      <c r="C72" s="627">
        <v>1500</v>
      </c>
      <c r="D72" s="492"/>
      <c r="H72" s="42"/>
    </row>
    <row r="73" spans="1:11" ht="22.75" customHeight="1">
      <c r="A73" s="835"/>
      <c r="B73" s="165" t="s">
        <v>602</v>
      </c>
      <c r="C73" s="627">
        <v>1800</v>
      </c>
      <c r="D73" s="492"/>
      <c r="H73" s="42"/>
    </row>
    <row r="74" spans="1:11" ht="22.75" customHeight="1">
      <c r="A74" s="835"/>
      <c r="B74" s="165" t="s">
        <v>603</v>
      </c>
      <c r="C74" s="627">
        <v>2100</v>
      </c>
      <c r="D74" s="492"/>
      <c r="H74" s="42"/>
    </row>
    <row r="75" spans="1:11" ht="22.75" customHeight="1">
      <c r="A75" s="835"/>
      <c r="B75" s="165" t="s">
        <v>604</v>
      </c>
      <c r="C75" s="627">
        <v>3175</v>
      </c>
      <c r="D75" s="492"/>
      <c r="H75" s="42"/>
    </row>
    <row r="76" spans="1:11" ht="22.75" customHeight="1">
      <c r="A76" s="835"/>
      <c r="B76" s="165" t="s">
        <v>1176</v>
      </c>
      <c r="C76" s="627">
        <f>H61/10000</f>
        <v>3042.6470588235293</v>
      </c>
      <c r="D76" s="492"/>
      <c r="H76" s="42"/>
    </row>
    <row r="77" spans="1:11" ht="22.75" customHeight="1">
      <c r="A77" s="835"/>
      <c r="B77" s="165" t="s">
        <v>1177</v>
      </c>
      <c r="C77" s="627"/>
      <c r="D77" s="492"/>
      <c r="H77" s="42"/>
    </row>
    <row r="78" spans="1:11" ht="22.75" customHeight="1">
      <c r="A78" s="835"/>
      <c r="B78" s="165" t="s">
        <v>1169</v>
      </c>
      <c r="C78" s="627"/>
      <c r="D78" s="492"/>
      <c r="H78" s="42"/>
    </row>
    <row r="79" spans="1:11" ht="22.75" customHeight="1">
      <c r="A79" s="835"/>
      <c r="B79" s="165" t="s">
        <v>1170</v>
      </c>
      <c r="C79" s="627"/>
      <c r="D79" s="492"/>
      <c r="H79" s="42"/>
    </row>
    <row r="80" spans="1:11" ht="22.75" customHeight="1">
      <c r="A80" s="835"/>
      <c r="B80" s="165" t="s">
        <v>1171</v>
      </c>
      <c r="C80" s="627"/>
      <c r="D80" s="492"/>
      <c r="H80" s="42"/>
    </row>
    <row r="81" spans="1:8" ht="22.75" customHeight="1" thickBot="1">
      <c r="A81" s="836"/>
      <c r="B81" s="490" t="s">
        <v>614</v>
      </c>
      <c r="C81" s="628"/>
      <c r="D81" s="493"/>
      <c r="E81" s="486"/>
      <c r="F81" s="486"/>
      <c r="G81" s="486"/>
      <c r="H81" s="487"/>
    </row>
    <row r="82" spans="1:8" ht="3.5" customHeight="1" thickBot="1">
      <c r="A82" s="605"/>
      <c r="B82" s="589"/>
      <c r="C82" s="590"/>
      <c r="D82" s="591"/>
      <c r="H82" s="42"/>
    </row>
    <row r="83" spans="1:8">
      <c r="A83" s="826" t="s">
        <v>650</v>
      </c>
      <c r="B83" s="582" t="s">
        <v>759</v>
      </c>
      <c r="C83" s="565"/>
      <c r="D83" s="566"/>
      <c r="E83" s="559"/>
      <c r="F83" s="559"/>
      <c r="G83" s="559"/>
      <c r="H83" s="567"/>
    </row>
    <row r="84" spans="1:8">
      <c r="A84" s="827"/>
      <c r="B84" s="206" t="s">
        <v>758</v>
      </c>
      <c r="C84" s="78"/>
      <c r="D84" s="79"/>
      <c r="E84" s="76"/>
      <c r="F84" s="76"/>
      <c r="G84" s="76"/>
      <c r="H84" s="114"/>
    </row>
    <row r="85" spans="1:8">
      <c r="A85" s="827"/>
      <c r="B85" s="206" t="s">
        <v>751</v>
      </c>
      <c r="C85" s="78"/>
      <c r="D85" s="79"/>
      <c r="E85" s="76"/>
      <c r="F85" s="76"/>
      <c r="G85" s="76"/>
      <c r="H85" s="114"/>
    </row>
    <row r="86" spans="1:8">
      <c r="A86" s="827"/>
      <c r="B86" s="206" t="s">
        <v>755</v>
      </c>
      <c r="C86" s="78"/>
      <c r="D86" s="79"/>
      <c r="E86" s="76"/>
      <c r="F86" s="76"/>
      <c r="G86" s="76"/>
      <c r="H86" s="114"/>
    </row>
    <row r="87" spans="1:8">
      <c r="A87" s="827"/>
      <c r="B87" s="206" t="s">
        <v>756</v>
      </c>
      <c r="C87" s="78"/>
      <c r="D87" s="79"/>
      <c r="E87" s="76"/>
      <c r="F87" s="76"/>
      <c r="G87" s="76"/>
      <c r="H87" s="114"/>
    </row>
    <row r="88" spans="1:8">
      <c r="A88" s="827"/>
      <c r="B88" s="206" t="s">
        <v>752</v>
      </c>
      <c r="C88" s="78"/>
      <c r="D88" s="79"/>
      <c r="E88" s="76"/>
      <c r="F88" s="76"/>
      <c r="G88" s="76"/>
      <c r="H88" s="114"/>
    </row>
    <row r="89" spans="1:8">
      <c r="A89" s="827"/>
      <c r="B89" s="206" t="s">
        <v>757</v>
      </c>
      <c r="C89" s="78"/>
      <c r="D89" s="79"/>
      <c r="E89" s="76"/>
      <c r="F89" s="76"/>
      <c r="G89" s="76"/>
      <c r="H89" s="114"/>
    </row>
    <row r="90" spans="1:8">
      <c r="A90" s="827"/>
      <c r="B90" s="206" t="s">
        <v>754</v>
      </c>
      <c r="C90" s="78"/>
      <c r="D90" s="79"/>
      <c r="E90" s="76"/>
      <c r="F90" s="76"/>
      <c r="G90" s="76"/>
      <c r="H90" s="114"/>
    </row>
    <row r="91" spans="1:8" ht="16.5" thickBot="1">
      <c r="A91" s="828"/>
      <c r="B91" s="568" t="s">
        <v>753</v>
      </c>
      <c r="C91" s="569"/>
      <c r="D91" s="570"/>
      <c r="E91" s="571"/>
      <c r="F91" s="571"/>
      <c r="G91" s="571"/>
      <c r="H91" s="572"/>
    </row>
  </sheetData>
  <mergeCells count="21">
    <mergeCell ref="A83:A91"/>
    <mergeCell ref="A20:A28"/>
    <mergeCell ref="A30:A42"/>
    <mergeCell ref="A1:H1"/>
    <mergeCell ref="A2:A18"/>
    <mergeCell ref="C4:D4"/>
    <mergeCell ref="D7:E7"/>
    <mergeCell ref="G7:H7"/>
    <mergeCell ref="C15:D15"/>
    <mergeCell ref="B17:B18"/>
    <mergeCell ref="C5:D5"/>
    <mergeCell ref="C6:D6"/>
    <mergeCell ref="C3:D3"/>
    <mergeCell ref="F14:G14"/>
    <mergeCell ref="F15:H15"/>
    <mergeCell ref="F10:H10"/>
    <mergeCell ref="I56:I60"/>
    <mergeCell ref="A44:A54"/>
    <mergeCell ref="A68:A81"/>
    <mergeCell ref="D68:H68"/>
    <mergeCell ref="A56:A66"/>
  </mergeCells>
  <phoneticPr fontId="16" type="noConversion"/>
  <pageMargins left="0.69972223043441772" right="0.69972223043441772" top="0.75" bottom="0.75" header="0.30000001192092896" footer="0.30000001192092896"/>
  <pageSetup paperSize="9" scale="69" orientation="portrait" horizontalDpi="4294967293" verticalDpi="4294967293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rgb="FFFF0000"/>
  </sheetPr>
  <dimension ref="A1:I90"/>
  <sheetViews>
    <sheetView showGridLines="0" topLeftCell="A62" zoomScale="85" zoomScaleNormal="85" zoomScaleSheetLayoutView="120" workbookViewId="0">
      <selection activeCell="C62" sqref="C62"/>
    </sheetView>
  </sheetViews>
  <sheetFormatPr defaultColWidth="13.4140625" defaultRowHeight="16"/>
  <cols>
    <col min="1" max="1" width="6.08203125" style="76" customWidth="1"/>
    <col min="2" max="2" width="17.4140625" style="77" customWidth="1"/>
    <col min="3" max="3" width="24.33203125" style="78" bestFit="1" customWidth="1"/>
    <col min="4" max="4" width="18" style="79" bestFit="1" customWidth="1"/>
    <col min="5" max="5" width="17.5" style="76" bestFit="1" customWidth="1"/>
    <col min="6" max="6" width="15.75" style="76" bestFit="1" customWidth="1"/>
    <col min="7" max="7" width="14" style="76" bestFit="1" customWidth="1"/>
    <col min="8" max="8" width="12.1640625" style="76" bestFit="1" customWidth="1"/>
    <col min="9" max="9" width="26.33203125" style="76" bestFit="1" customWidth="1"/>
    <col min="10" max="16384" width="13.4140625" style="76"/>
  </cols>
  <sheetData>
    <row r="1" spans="1:8" ht="30.75" customHeight="1" thickBot="1">
      <c r="A1" s="943" t="s">
        <v>171</v>
      </c>
      <c r="B1" s="943"/>
      <c r="C1" s="943"/>
      <c r="D1" s="943"/>
      <c r="E1" s="943"/>
      <c r="F1" s="943"/>
      <c r="G1" s="943"/>
      <c r="H1" s="943"/>
    </row>
    <row r="2" spans="1:8">
      <c r="A2" s="936" t="s">
        <v>112</v>
      </c>
      <c r="B2" s="181" t="s">
        <v>420</v>
      </c>
      <c r="C2" s="182" t="s">
        <v>646</v>
      </c>
      <c r="D2" s="183"/>
      <c r="E2" s="117"/>
      <c r="F2" s="117"/>
      <c r="G2" s="117"/>
      <c r="H2" s="118"/>
    </row>
    <row r="3" spans="1:8">
      <c r="A3" s="939"/>
      <c r="B3" s="184" t="s">
        <v>471</v>
      </c>
      <c r="C3" s="845" t="s">
        <v>390</v>
      </c>
      <c r="D3" s="847"/>
      <c r="E3" s="85"/>
      <c r="F3" s="85"/>
      <c r="G3" s="85"/>
      <c r="H3" s="86"/>
    </row>
    <row r="4" spans="1:8" ht="16.5" thickBot="1">
      <c r="A4" s="939"/>
      <c r="B4" s="184" t="s">
        <v>407</v>
      </c>
      <c r="C4" s="845" t="s">
        <v>396</v>
      </c>
      <c r="D4" s="847"/>
      <c r="E4" s="85"/>
      <c r="F4" s="85"/>
      <c r="G4" s="85"/>
      <c r="H4" s="86"/>
    </row>
    <row r="5" spans="1:8">
      <c r="A5" s="936"/>
      <c r="B5" s="184" t="s">
        <v>58</v>
      </c>
      <c r="C5" s="845" t="s">
        <v>263</v>
      </c>
      <c r="D5" s="846"/>
      <c r="E5" s="85"/>
      <c r="F5" s="85"/>
      <c r="G5" s="85"/>
      <c r="H5" s="86"/>
    </row>
    <row r="6" spans="1:8">
      <c r="A6" s="939"/>
      <c r="B6" s="184" t="s">
        <v>53</v>
      </c>
      <c r="C6" s="845">
        <v>108578</v>
      </c>
      <c r="D6" s="847"/>
      <c r="E6" s="85"/>
      <c r="F6" s="85"/>
      <c r="G6" s="85"/>
      <c r="H6" s="86"/>
    </row>
    <row r="7" spans="1:8">
      <c r="A7" s="937"/>
      <c r="B7" s="185" t="s">
        <v>99</v>
      </c>
      <c r="C7" s="87">
        <v>160727</v>
      </c>
      <c r="D7" s="840" t="s">
        <v>231</v>
      </c>
      <c r="E7" s="841"/>
      <c r="F7" s="470">
        <f>C7*0.3025/C9</f>
        <v>44.199924999999993</v>
      </c>
      <c r="G7" s="842" t="s">
        <v>524</v>
      </c>
      <c r="H7" s="843"/>
    </row>
    <row r="8" spans="1:8">
      <c r="A8" s="937"/>
      <c r="B8" s="185" t="s">
        <v>425</v>
      </c>
      <c r="C8" s="87">
        <v>28</v>
      </c>
      <c r="D8" s="88"/>
      <c r="E8" s="83"/>
      <c r="F8" s="83"/>
      <c r="G8" s="83"/>
      <c r="H8" s="84"/>
    </row>
    <row r="9" spans="1:8">
      <c r="A9" s="937"/>
      <c r="B9" s="185" t="s">
        <v>335</v>
      </c>
      <c r="C9" s="87">
        <v>1100</v>
      </c>
      <c r="D9" s="89" t="s">
        <v>39</v>
      </c>
      <c r="E9" s="90">
        <f>C9/C11</f>
        <v>0.36654448517160948</v>
      </c>
      <c r="F9" s="88"/>
      <c r="G9" s="83"/>
      <c r="H9" s="84"/>
    </row>
    <row r="10" spans="1:8">
      <c r="A10" s="937"/>
      <c r="B10" s="185" t="s">
        <v>54</v>
      </c>
      <c r="C10" s="471">
        <f>C11-C9</f>
        <v>1901</v>
      </c>
      <c r="D10" s="89" t="s">
        <v>145</v>
      </c>
      <c r="E10" s="472">
        <f>C10/C11</f>
        <v>0.63345551482839058</v>
      </c>
      <c r="F10" s="946" t="s">
        <v>29</v>
      </c>
      <c r="G10" s="947"/>
      <c r="H10" s="948"/>
    </row>
    <row r="11" spans="1:8">
      <c r="A11" s="937"/>
      <c r="B11" s="185" t="s">
        <v>150</v>
      </c>
      <c r="C11" s="87">
        <v>3001</v>
      </c>
      <c r="D11" s="91"/>
      <c r="E11" s="83"/>
      <c r="F11" s="83"/>
      <c r="G11" s="83"/>
      <c r="H11" s="84"/>
    </row>
    <row r="12" spans="1:8">
      <c r="A12" s="937"/>
      <c r="B12" s="185" t="s">
        <v>427</v>
      </c>
      <c r="C12" s="92">
        <v>0.1293</v>
      </c>
      <c r="D12" s="93" t="s">
        <v>84</v>
      </c>
      <c r="E12" s="94">
        <f>C7*C12</f>
        <v>20782.001100000001</v>
      </c>
      <c r="F12" s="95" t="s">
        <v>41</v>
      </c>
      <c r="G12" s="96">
        <f>E13/E12</f>
        <v>22.275328692962102</v>
      </c>
      <c r="H12" s="97"/>
    </row>
    <row r="13" spans="1:8">
      <c r="A13" s="937"/>
      <c r="B13" s="185" t="s">
        <v>466</v>
      </c>
      <c r="C13" s="92">
        <v>2.8801999999999999</v>
      </c>
      <c r="D13" s="93" t="s">
        <v>91</v>
      </c>
      <c r="E13" s="98">
        <f>C7*C13</f>
        <v>462925.90539999999</v>
      </c>
      <c r="F13" s="95" t="s">
        <v>209</v>
      </c>
      <c r="G13" s="473">
        <f>E13*76%</f>
        <v>351823.688104</v>
      </c>
      <c r="H13" s="140"/>
    </row>
    <row r="14" spans="1:8">
      <c r="A14" s="937"/>
      <c r="B14" s="185" t="s">
        <v>208</v>
      </c>
      <c r="C14" s="100" t="s">
        <v>26</v>
      </c>
      <c r="D14" s="88"/>
      <c r="E14" s="83"/>
      <c r="F14" s="840" t="s">
        <v>234</v>
      </c>
      <c r="G14" s="841"/>
      <c r="H14" s="367">
        <f>G13/C43</f>
        <v>1.5615163535588903</v>
      </c>
    </row>
    <row r="15" spans="1:8" ht="15" customHeight="1">
      <c r="A15" s="937"/>
      <c r="B15" s="185" t="s">
        <v>441</v>
      </c>
      <c r="C15" s="944" t="s">
        <v>13</v>
      </c>
      <c r="D15" s="944"/>
      <c r="E15" s="83"/>
      <c r="F15" s="946" t="s">
        <v>392</v>
      </c>
      <c r="G15" s="947"/>
      <c r="H15" s="948"/>
    </row>
    <row r="16" spans="1:8" ht="16.5" thickBot="1">
      <c r="A16" s="937"/>
      <c r="B16" s="186" t="s">
        <v>87</v>
      </c>
      <c r="C16" s="100" t="s">
        <v>647</v>
      </c>
      <c r="D16" s="187"/>
      <c r="E16" s="83"/>
      <c r="F16" s="83"/>
      <c r="G16" s="83"/>
      <c r="H16" s="84"/>
    </row>
    <row r="17" spans="1:8" ht="15" customHeight="1" thickBot="1">
      <c r="A17" s="936"/>
      <c r="B17" s="945" t="s">
        <v>470</v>
      </c>
      <c r="C17" s="552"/>
      <c r="D17" s="188"/>
      <c r="E17" s="106"/>
      <c r="F17" s="106"/>
      <c r="G17" s="106"/>
      <c r="H17" s="107"/>
    </row>
    <row r="18" spans="1:8" ht="16.5" thickBot="1">
      <c r="A18" s="938"/>
      <c r="B18" s="945"/>
      <c r="C18" s="189"/>
      <c r="D18" s="109"/>
      <c r="E18" s="110"/>
      <c r="F18" s="110"/>
      <c r="G18" s="110"/>
      <c r="H18" s="111"/>
    </row>
    <row r="19" spans="1:8" ht="5.25" customHeight="1" thickBot="1">
      <c r="A19" s="112"/>
      <c r="B19" s="190"/>
      <c r="C19" s="113"/>
      <c r="D19" s="113"/>
      <c r="H19" s="114"/>
    </row>
    <row r="20" spans="1:8">
      <c r="A20" s="936" t="s">
        <v>49</v>
      </c>
      <c r="B20" s="191" t="s">
        <v>102</v>
      </c>
      <c r="C20" s="115" t="s">
        <v>337</v>
      </c>
      <c r="D20" s="116"/>
      <c r="E20" s="117"/>
      <c r="F20" s="117"/>
      <c r="G20" s="117"/>
      <c r="H20" s="118"/>
    </row>
    <row r="21" spans="1:8" ht="16.5" thickBot="1">
      <c r="A21" s="937"/>
      <c r="B21" s="93" t="s">
        <v>147</v>
      </c>
      <c r="C21" s="119" t="s">
        <v>342</v>
      </c>
      <c r="D21" s="120"/>
      <c r="E21" s="83"/>
      <c r="F21" s="83"/>
      <c r="G21" s="83"/>
      <c r="H21" s="84"/>
    </row>
    <row r="22" spans="1:8">
      <c r="A22" s="936"/>
      <c r="B22" s="93" t="s">
        <v>52</v>
      </c>
      <c r="C22" s="119" t="s">
        <v>289</v>
      </c>
      <c r="D22" s="120"/>
      <c r="E22" s="83"/>
      <c r="F22" s="83"/>
      <c r="G22" s="83"/>
      <c r="H22" s="84"/>
    </row>
    <row r="23" spans="1:8">
      <c r="A23" s="937"/>
      <c r="B23" s="93" t="s">
        <v>92</v>
      </c>
      <c r="C23" s="119" t="s">
        <v>375</v>
      </c>
      <c r="D23" s="120"/>
      <c r="E23" s="83"/>
      <c r="F23" s="83"/>
      <c r="G23" s="83"/>
      <c r="H23" s="84"/>
    </row>
    <row r="24" spans="1:8">
      <c r="A24" s="937"/>
      <c r="B24" s="93" t="s">
        <v>95</v>
      </c>
      <c r="C24" s="93" t="s">
        <v>310</v>
      </c>
      <c r="D24" s="91"/>
      <c r="E24" s="83"/>
      <c r="F24" s="83"/>
      <c r="G24" s="83"/>
      <c r="H24" s="84"/>
    </row>
    <row r="25" spans="1:8">
      <c r="A25" s="937"/>
      <c r="B25" s="93" t="s">
        <v>73</v>
      </c>
      <c r="C25" s="93" t="s">
        <v>333</v>
      </c>
      <c r="D25" s="91"/>
      <c r="E25" s="83"/>
      <c r="F25" s="83"/>
      <c r="G25" s="83"/>
      <c r="H25" s="84"/>
    </row>
    <row r="26" spans="1:8">
      <c r="A26" s="937"/>
      <c r="B26" s="93" t="s">
        <v>177</v>
      </c>
      <c r="C26" s="93" t="s">
        <v>259</v>
      </c>
      <c r="D26" s="91"/>
      <c r="E26" s="83"/>
      <c r="F26" s="83"/>
      <c r="G26" s="83"/>
      <c r="H26" s="84"/>
    </row>
    <row r="27" spans="1:8">
      <c r="A27" s="937"/>
      <c r="B27" s="93" t="s">
        <v>167</v>
      </c>
      <c r="C27" s="93" t="s">
        <v>266</v>
      </c>
      <c r="D27" s="91"/>
      <c r="E27" s="83"/>
      <c r="F27" s="83"/>
      <c r="G27" s="83"/>
      <c r="H27" s="84"/>
    </row>
    <row r="28" spans="1:8" ht="16.5" thickBot="1">
      <c r="A28" s="938"/>
      <c r="B28" s="553" t="s">
        <v>447</v>
      </c>
      <c r="C28" s="553" t="s">
        <v>364</v>
      </c>
      <c r="D28" s="123"/>
      <c r="E28" s="110"/>
      <c r="F28" s="110"/>
      <c r="G28" s="110"/>
      <c r="H28" s="111"/>
    </row>
    <row r="29" spans="1:8" ht="5.25" customHeight="1" thickBot="1">
      <c r="A29" s="112"/>
      <c r="B29" s="190"/>
      <c r="H29" s="114"/>
    </row>
    <row r="30" spans="1:8" s="80" customFormat="1" ht="13.5" customHeight="1">
      <c r="A30" s="936" t="s">
        <v>160</v>
      </c>
      <c r="B30" s="192" t="s">
        <v>101</v>
      </c>
      <c r="C30" s="193" t="s">
        <v>48</v>
      </c>
      <c r="D30" s="194" t="s">
        <v>125</v>
      </c>
      <c r="E30" s="194" t="s">
        <v>434</v>
      </c>
      <c r="F30" s="194" t="s">
        <v>414</v>
      </c>
      <c r="G30" s="195" t="s">
        <v>454</v>
      </c>
      <c r="H30" s="196" t="s">
        <v>470</v>
      </c>
    </row>
    <row r="31" spans="1:8" ht="16.5" thickBot="1">
      <c r="A31" s="937"/>
      <c r="B31" s="185" t="s">
        <v>417</v>
      </c>
      <c r="C31" s="130">
        <f>39*D31</f>
        <v>4446</v>
      </c>
      <c r="D31" s="87">
        <v>114</v>
      </c>
      <c r="E31" s="87" t="s">
        <v>436</v>
      </c>
      <c r="F31" s="87" t="s">
        <v>436</v>
      </c>
      <c r="G31" s="131">
        <f t="shared" ref="G31:G42" si="0">D31/$D$43</f>
        <v>3.7748344370860928E-2</v>
      </c>
      <c r="H31" s="132" t="s">
        <v>449</v>
      </c>
    </row>
    <row r="32" spans="1:8">
      <c r="A32" s="936"/>
      <c r="B32" s="185" t="s">
        <v>430</v>
      </c>
      <c r="C32" s="130">
        <f>50*D32</f>
        <v>2200</v>
      </c>
      <c r="D32" s="87">
        <v>44</v>
      </c>
      <c r="E32" s="87" t="s">
        <v>436</v>
      </c>
      <c r="F32" s="87" t="s">
        <v>436</v>
      </c>
      <c r="G32" s="131">
        <f t="shared" si="0"/>
        <v>1.456953642384106E-2</v>
      </c>
      <c r="H32" s="132" t="s">
        <v>449</v>
      </c>
    </row>
    <row r="33" spans="1:8">
      <c r="A33" s="937"/>
      <c r="B33" s="185" t="s">
        <v>37</v>
      </c>
      <c r="C33" s="130">
        <f>59*D33</f>
        <v>7139</v>
      </c>
      <c r="D33" s="87">
        <v>121</v>
      </c>
      <c r="E33" s="87"/>
      <c r="F33" s="197"/>
      <c r="G33" s="131">
        <f t="shared" si="0"/>
        <v>4.0066225165562915E-2</v>
      </c>
      <c r="H33" s="132"/>
    </row>
    <row r="34" spans="1:8">
      <c r="A34" s="937"/>
      <c r="B34" s="185" t="s">
        <v>103</v>
      </c>
      <c r="C34" s="130">
        <f>59*D34</f>
        <v>55755</v>
      </c>
      <c r="D34" s="87">
        <v>945</v>
      </c>
      <c r="E34" s="87"/>
      <c r="F34" s="197"/>
      <c r="G34" s="131">
        <f t="shared" si="0"/>
        <v>0.3129139072847682</v>
      </c>
      <c r="H34" s="132"/>
    </row>
    <row r="35" spans="1:8">
      <c r="A35" s="937"/>
      <c r="B35" s="185" t="s">
        <v>90</v>
      </c>
      <c r="C35" s="130">
        <f>71*D35</f>
        <v>14697</v>
      </c>
      <c r="D35" s="87">
        <v>207</v>
      </c>
      <c r="E35" s="87"/>
      <c r="F35" s="197"/>
      <c r="G35" s="131">
        <f t="shared" si="0"/>
        <v>6.8543046357615892E-2</v>
      </c>
      <c r="H35" s="132"/>
    </row>
    <row r="36" spans="1:8">
      <c r="A36" s="937"/>
      <c r="B36" s="185" t="s">
        <v>86</v>
      </c>
      <c r="C36" s="130">
        <f>84*D36</f>
        <v>21336</v>
      </c>
      <c r="D36" s="87">
        <v>254</v>
      </c>
      <c r="E36" s="87"/>
      <c r="F36" s="197"/>
      <c r="G36" s="131">
        <f t="shared" si="0"/>
        <v>8.4105960264900664E-2</v>
      </c>
      <c r="H36" s="132"/>
    </row>
    <row r="37" spans="1:8">
      <c r="A37" s="937"/>
      <c r="B37" s="185" t="s">
        <v>155</v>
      </c>
      <c r="C37" s="130">
        <f>84*D37</f>
        <v>11844</v>
      </c>
      <c r="D37" s="87">
        <v>141</v>
      </c>
      <c r="E37" s="87"/>
      <c r="F37" s="197"/>
      <c r="G37" s="131">
        <f t="shared" si="0"/>
        <v>4.6688741721854304E-2</v>
      </c>
      <c r="H37" s="132"/>
    </row>
    <row r="38" spans="1:8" ht="16.5" thickBot="1">
      <c r="A38" s="937"/>
      <c r="B38" s="185" t="s">
        <v>83</v>
      </c>
      <c r="C38" s="130">
        <f>84*D38</f>
        <v>18564</v>
      </c>
      <c r="D38" s="87">
        <v>221</v>
      </c>
      <c r="E38" s="87"/>
      <c r="F38" s="197"/>
      <c r="G38" s="131">
        <f t="shared" si="0"/>
        <v>7.3178807947019864E-2</v>
      </c>
      <c r="H38" s="132"/>
    </row>
    <row r="39" spans="1:8">
      <c r="A39" s="936"/>
      <c r="B39" s="185" t="s">
        <v>135</v>
      </c>
      <c r="C39" s="130">
        <f>84*D39</f>
        <v>49812</v>
      </c>
      <c r="D39" s="87">
        <v>593</v>
      </c>
      <c r="E39" s="87"/>
      <c r="F39" s="197"/>
      <c r="G39" s="131">
        <f t="shared" si="0"/>
        <v>0.19635761589403974</v>
      </c>
      <c r="H39" s="132"/>
    </row>
    <row r="40" spans="1:8">
      <c r="A40" s="939"/>
      <c r="B40" s="185" t="s">
        <v>64</v>
      </c>
      <c r="C40" s="130">
        <f>95*D40</f>
        <v>17480</v>
      </c>
      <c r="D40" s="87">
        <v>184</v>
      </c>
      <c r="E40" s="87"/>
      <c r="F40" s="197"/>
      <c r="G40" s="131">
        <f t="shared" si="0"/>
        <v>6.0927152317880796E-2</v>
      </c>
      <c r="H40" s="132"/>
    </row>
    <row r="41" spans="1:8" ht="16.5" thickBot="1">
      <c r="A41" s="937"/>
      <c r="B41" s="185" t="s">
        <v>106</v>
      </c>
      <c r="C41" s="130">
        <f>107*D41</f>
        <v>12840</v>
      </c>
      <c r="D41" s="87">
        <v>120</v>
      </c>
      <c r="E41" s="87"/>
      <c r="F41" s="197"/>
      <c r="G41" s="131">
        <f t="shared" si="0"/>
        <v>3.9735099337748346E-2</v>
      </c>
      <c r="H41" s="132"/>
    </row>
    <row r="42" spans="1:8">
      <c r="A42" s="936"/>
      <c r="B42" s="185" t="s">
        <v>202</v>
      </c>
      <c r="C42" s="130">
        <f>121*D42</f>
        <v>9196</v>
      </c>
      <c r="D42" s="87">
        <v>76</v>
      </c>
      <c r="E42" s="87"/>
      <c r="F42" s="197"/>
      <c r="G42" s="131">
        <f t="shared" si="0"/>
        <v>2.5165562913907286E-2</v>
      </c>
      <c r="H42" s="134"/>
    </row>
    <row r="43" spans="1:8" ht="16.5" thickBot="1">
      <c r="A43" s="938"/>
      <c r="B43" s="185" t="s">
        <v>462</v>
      </c>
      <c r="C43" s="198">
        <f>SUM(C31:C42)</f>
        <v>225309</v>
      </c>
      <c r="D43" s="198">
        <f>SUM(D31:D42)</f>
        <v>3020</v>
      </c>
      <c r="E43" s="198">
        <f>SUM(E33:E42)</f>
        <v>0</v>
      </c>
      <c r="F43" s="198">
        <f>SUM(F33:F42)</f>
        <v>0</v>
      </c>
      <c r="G43" s="199">
        <f>SUM(G31:G42)</f>
        <v>1.0000000000000002</v>
      </c>
      <c r="H43" s="200"/>
    </row>
    <row r="44" spans="1:8" ht="4.5" customHeight="1" thickBot="1">
      <c r="A44" s="112"/>
      <c r="B44" s="190"/>
      <c r="H44" s="114"/>
    </row>
    <row r="45" spans="1:8" s="77" customFormat="1">
      <c r="A45" s="940" t="s">
        <v>5</v>
      </c>
      <c r="B45" s="192" t="s">
        <v>360</v>
      </c>
      <c r="C45" s="194" t="s">
        <v>901</v>
      </c>
      <c r="D45" s="194" t="s">
        <v>902</v>
      </c>
      <c r="E45" s="466" t="s">
        <v>43</v>
      </c>
      <c r="F45" s="194" t="s">
        <v>903</v>
      </c>
      <c r="G45" s="467" t="s">
        <v>172</v>
      </c>
      <c r="H45" s="201" t="s">
        <v>470</v>
      </c>
    </row>
    <row r="46" spans="1:8" ht="16.5" customHeight="1" thickBot="1">
      <c r="A46" s="941"/>
      <c r="B46" s="185" t="s">
        <v>37</v>
      </c>
      <c r="C46" s="138"/>
      <c r="D46" s="139"/>
      <c r="E46" s="362">
        <f>(D46-C46)*25</f>
        <v>0</v>
      </c>
      <c r="F46" s="139"/>
      <c r="G46" s="362">
        <f>(F46-C46)*25</f>
        <v>0</v>
      </c>
      <c r="H46" s="140"/>
    </row>
    <row r="47" spans="1:8" ht="16.5" customHeight="1">
      <c r="A47" s="940"/>
      <c r="B47" s="185" t="s">
        <v>103</v>
      </c>
      <c r="C47" s="138"/>
      <c r="D47" s="139"/>
      <c r="E47" s="362">
        <f>(D47-C47)*25</f>
        <v>0</v>
      </c>
      <c r="F47" s="139"/>
      <c r="G47" s="362">
        <f>(F47-C47)*25</f>
        <v>0</v>
      </c>
      <c r="H47" s="140"/>
    </row>
    <row r="48" spans="1:8" ht="16.5" customHeight="1">
      <c r="A48" s="941"/>
      <c r="B48" s="185" t="s">
        <v>90</v>
      </c>
      <c r="C48" s="138"/>
      <c r="D48" s="139"/>
      <c r="E48" s="362">
        <f>(D48-C48)*29</f>
        <v>0</v>
      </c>
      <c r="F48" s="139"/>
      <c r="G48" s="362">
        <f>(F48-C48)*29</f>
        <v>0</v>
      </c>
      <c r="H48" s="140"/>
    </row>
    <row r="49" spans="1:9" ht="16.5" customHeight="1">
      <c r="A49" s="941"/>
      <c r="B49" s="185" t="s">
        <v>86</v>
      </c>
      <c r="C49" s="726">
        <f>F49*70%</f>
        <v>27755000</v>
      </c>
      <c r="D49" s="139">
        <f>F49-2000000</f>
        <v>37650000</v>
      </c>
      <c r="E49" s="362">
        <f>(D49-C49)*34</f>
        <v>336430000</v>
      </c>
      <c r="F49" s="727">
        <v>39650000</v>
      </c>
      <c r="G49" s="362">
        <f>(F49-C49)*34</f>
        <v>404430000</v>
      </c>
      <c r="H49" s="140" t="s">
        <v>1385</v>
      </c>
    </row>
    <row r="50" spans="1:9" ht="16.5" customHeight="1">
      <c r="A50" s="941"/>
      <c r="B50" s="185" t="s">
        <v>155</v>
      </c>
      <c r="C50" s="138"/>
      <c r="D50" s="139"/>
      <c r="E50" s="362">
        <f>(D50-C50)*34</f>
        <v>0</v>
      </c>
      <c r="F50" s="139"/>
      <c r="G50" s="362">
        <f>(F50-C50)*34</f>
        <v>0</v>
      </c>
      <c r="H50" s="140"/>
    </row>
    <row r="51" spans="1:9" ht="16.5" customHeight="1">
      <c r="A51" s="941"/>
      <c r="B51" s="185" t="s">
        <v>83</v>
      </c>
      <c r="C51" s="141"/>
      <c r="D51" s="139"/>
      <c r="E51" s="362">
        <f>(D51-C51)*34</f>
        <v>0</v>
      </c>
      <c r="F51" s="139"/>
      <c r="G51" s="362">
        <f>(F51-C51)*34</f>
        <v>0</v>
      </c>
      <c r="H51" s="140"/>
    </row>
    <row r="52" spans="1:9" ht="16.5" customHeight="1">
      <c r="A52" s="941"/>
      <c r="B52" s="185" t="s">
        <v>135</v>
      </c>
      <c r="C52" s="141"/>
      <c r="D52" s="139"/>
      <c r="E52" s="362">
        <f>(D52-C52)*34</f>
        <v>0</v>
      </c>
      <c r="F52" s="139"/>
      <c r="G52" s="362">
        <f>(F52-C52)*34</f>
        <v>0</v>
      </c>
      <c r="H52" s="140"/>
    </row>
    <row r="53" spans="1:9" ht="16.5" customHeight="1" thickBot="1">
      <c r="A53" s="941"/>
      <c r="B53" s="185" t="s">
        <v>64</v>
      </c>
      <c r="C53" s="141"/>
      <c r="D53" s="139"/>
      <c r="E53" s="362">
        <f>(D53-C53)*38</f>
        <v>0</v>
      </c>
      <c r="F53" s="139"/>
      <c r="G53" s="362">
        <f>(F53-C53)*38</f>
        <v>0</v>
      </c>
      <c r="H53" s="140"/>
    </row>
    <row r="54" spans="1:9" ht="16.5" customHeight="1">
      <c r="A54" s="940" t="s">
        <v>393</v>
      </c>
      <c r="B54" s="185" t="s">
        <v>106</v>
      </c>
      <c r="C54" s="141"/>
      <c r="D54" s="139"/>
      <c r="E54" s="362">
        <f>(D54-C54)*43</f>
        <v>0</v>
      </c>
      <c r="F54" s="139"/>
      <c r="G54" s="362">
        <f>(F54-C54)*43</f>
        <v>0</v>
      </c>
      <c r="H54" s="202"/>
    </row>
    <row r="55" spans="1:9" ht="16.5" customHeight="1" thickBot="1">
      <c r="A55" s="942"/>
      <c r="B55" s="203" t="s">
        <v>202</v>
      </c>
      <c r="C55" s="204"/>
      <c r="D55" s="179"/>
      <c r="E55" s="363">
        <f>(D55-C55)*76</f>
        <v>0</v>
      </c>
      <c r="F55" s="179"/>
      <c r="G55" s="363">
        <f>(F55-C55)*76</f>
        <v>0</v>
      </c>
      <c r="H55" s="180"/>
    </row>
    <row r="56" spans="1:9" ht="6" customHeight="1" thickBot="1">
      <c r="A56" s="112"/>
      <c r="H56" s="114"/>
    </row>
    <row r="57" spans="1:9" ht="58">
      <c r="A57" s="933" t="s">
        <v>286</v>
      </c>
      <c r="B57" s="194" t="s">
        <v>101</v>
      </c>
      <c r="C57" s="508" t="s">
        <v>1395</v>
      </c>
      <c r="D57" s="205" t="s">
        <v>247</v>
      </c>
      <c r="E57" s="468" t="s">
        <v>235</v>
      </c>
      <c r="F57" s="205" t="s">
        <v>222</v>
      </c>
      <c r="G57" s="468" t="s">
        <v>367</v>
      </c>
      <c r="H57" s="194" t="s">
        <v>1136</v>
      </c>
      <c r="I57" s="824" t="s">
        <v>1206</v>
      </c>
    </row>
    <row r="58" spans="1:9" ht="16.5" customHeight="1">
      <c r="A58" s="934"/>
      <c r="B58" s="93" t="s">
        <v>37</v>
      </c>
      <c r="C58" s="138"/>
      <c r="D58" s="139">
        <f t="shared" ref="D58:D67" si="1">E46</f>
        <v>0</v>
      </c>
      <c r="E58" s="362">
        <f t="shared" ref="E58:E66" si="2">D58-C58</f>
        <v>0</v>
      </c>
      <c r="F58" s="139">
        <f t="shared" ref="F58:F67" si="3">G46</f>
        <v>0</v>
      </c>
      <c r="G58" s="362">
        <f t="shared" ref="G58:G66" si="4">F58-C58</f>
        <v>0</v>
      </c>
      <c r="H58" s="739"/>
      <c r="I58" s="825"/>
    </row>
    <row r="59" spans="1:9" ht="16.5" customHeight="1">
      <c r="A59" s="934"/>
      <c r="B59" s="93" t="s">
        <v>103</v>
      </c>
      <c r="C59" s="138"/>
      <c r="D59" s="139">
        <f t="shared" si="1"/>
        <v>0</v>
      </c>
      <c r="E59" s="362">
        <f t="shared" si="2"/>
        <v>0</v>
      </c>
      <c r="F59" s="139">
        <f t="shared" si="3"/>
        <v>0</v>
      </c>
      <c r="G59" s="362">
        <f t="shared" si="4"/>
        <v>0</v>
      </c>
      <c r="H59" s="739"/>
      <c r="I59" s="825"/>
    </row>
    <row r="60" spans="1:9" ht="16.5" customHeight="1">
      <c r="A60" s="934"/>
      <c r="B60" s="93" t="s">
        <v>90</v>
      </c>
      <c r="C60" s="138"/>
      <c r="D60" s="139">
        <f t="shared" si="1"/>
        <v>0</v>
      </c>
      <c r="E60" s="362">
        <f t="shared" si="2"/>
        <v>0</v>
      </c>
      <c r="F60" s="139">
        <f t="shared" si="3"/>
        <v>0</v>
      </c>
      <c r="G60" s="362">
        <f t="shared" si="4"/>
        <v>0</v>
      </c>
      <c r="H60" s="739"/>
      <c r="I60" s="825"/>
    </row>
    <row r="61" spans="1:9" ht="16.5" customHeight="1">
      <c r="A61" s="934"/>
      <c r="B61" s="93" t="s">
        <v>86</v>
      </c>
      <c r="C61" s="138">
        <v>790000000</v>
      </c>
      <c r="D61" s="139">
        <f t="shared" si="1"/>
        <v>336430000</v>
      </c>
      <c r="E61" s="362">
        <f t="shared" si="2"/>
        <v>-453570000</v>
      </c>
      <c r="F61" s="139">
        <f t="shared" si="3"/>
        <v>404430000</v>
      </c>
      <c r="G61" s="362">
        <f t="shared" si="4"/>
        <v>-385570000</v>
      </c>
      <c r="H61" s="62">
        <f>(C61+(C49*34))/34</f>
        <v>50990294.117647059</v>
      </c>
      <c r="I61" s="751">
        <f>H61/F49</f>
        <v>1.2860099399154366</v>
      </c>
    </row>
    <row r="62" spans="1:9" ht="16.5" customHeight="1">
      <c r="A62" s="934"/>
      <c r="B62" s="93" t="s">
        <v>155</v>
      </c>
      <c r="C62" s="138"/>
      <c r="D62" s="139">
        <f t="shared" si="1"/>
        <v>0</v>
      </c>
      <c r="E62" s="362">
        <f t="shared" si="2"/>
        <v>0</v>
      </c>
      <c r="F62" s="139">
        <f t="shared" si="3"/>
        <v>0</v>
      </c>
      <c r="G62" s="362">
        <f t="shared" si="4"/>
        <v>0</v>
      </c>
      <c r="H62" s="739"/>
      <c r="I62" s="140"/>
    </row>
    <row r="63" spans="1:9" ht="16.5" customHeight="1">
      <c r="A63" s="934"/>
      <c r="B63" s="93" t="s">
        <v>83</v>
      </c>
      <c r="C63" s="138"/>
      <c r="D63" s="139">
        <f t="shared" si="1"/>
        <v>0</v>
      </c>
      <c r="E63" s="362">
        <f t="shared" si="2"/>
        <v>0</v>
      </c>
      <c r="F63" s="139">
        <f t="shared" si="3"/>
        <v>0</v>
      </c>
      <c r="G63" s="362">
        <f t="shared" si="4"/>
        <v>0</v>
      </c>
      <c r="H63" s="739"/>
      <c r="I63" s="140"/>
    </row>
    <row r="64" spans="1:9" ht="16.5" customHeight="1">
      <c r="A64" s="934"/>
      <c r="B64" s="93" t="s">
        <v>135</v>
      </c>
      <c r="C64" s="138"/>
      <c r="D64" s="139">
        <f t="shared" si="1"/>
        <v>0</v>
      </c>
      <c r="E64" s="362">
        <f t="shared" si="2"/>
        <v>0</v>
      </c>
      <c r="F64" s="139">
        <f t="shared" si="3"/>
        <v>0</v>
      </c>
      <c r="G64" s="362">
        <f t="shared" si="4"/>
        <v>0</v>
      </c>
      <c r="H64" s="739"/>
      <c r="I64" s="140"/>
    </row>
    <row r="65" spans="1:9" ht="16.5" customHeight="1">
      <c r="A65" s="934"/>
      <c r="B65" s="93" t="s">
        <v>64</v>
      </c>
      <c r="C65" s="138"/>
      <c r="D65" s="139">
        <f t="shared" si="1"/>
        <v>0</v>
      </c>
      <c r="E65" s="362">
        <f t="shared" si="2"/>
        <v>0</v>
      </c>
      <c r="F65" s="139">
        <f t="shared" si="3"/>
        <v>0</v>
      </c>
      <c r="G65" s="362">
        <f t="shared" si="4"/>
        <v>0</v>
      </c>
      <c r="H65" s="739"/>
      <c r="I65" s="140"/>
    </row>
    <row r="66" spans="1:9" ht="17.25" customHeight="1">
      <c r="A66" s="934"/>
      <c r="B66" s="93" t="s">
        <v>106</v>
      </c>
      <c r="C66" s="138"/>
      <c r="D66" s="139">
        <f t="shared" si="1"/>
        <v>0</v>
      </c>
      <c r="E66" s="362">
        <f t="shared" si="2"/>
        <v>0</v>
      </c>
      <c r="F66" s="139">
        <f t="shared" si="3"/>
        <v>0</v>
      </c>
      <c r="G66" s="362">
        <f t="shared" si="4"/>
        <v>0</v>
      </c>
      <c r="H66" s="739"/>
      <c r="I66" s="140"/>
    </row>
    <row r="67" spans="1:9" ht="16.5" customHeight="1" thickBot="1">
      <c r="A67" s="935"/>
      <c r="B67" s="720" t="s">
        <v>202</v>
      </c>
      <c r="C67" s="198"/>
      <c r="D67" s="179">
        <f t="shared" si="1"/>
        <v>0</v>
      </c>
      <c r="E67" s="469"/>
      <c r="F67" s="179">
        <f t="shared" si="3"/>
        <v>0</v>
      </c>
      <c r="G67" s="469"/>
      <c r="H67" s="740"/>
      <c r="I67" s="180"/>
    </row>
    <row r="68" spans="1:9">
      <c r="A68" s="929" t="s">
        <v>598</v>
      </c>
      <c r="B68" s="741" t="s">
        <v>599</v>
      </c>
      <c r="C68" s="738" t="s">
        <v>857</v>
      </c>
      <c r="D68" s="930" t="s">
        <v>600</v>
      </c>
      <c r="E68" s="931"/>
      <c r="F68" s="931"/>
      <c r="G68" s="931"/>
      <c r="H68" s="932"/>
    </row>
    <row r="69" spans="1:9">
      <c r="A69" s="834"/>
      <c r="B69" s="165" t="s">
        <v>596</v>
      </c>
      <c r="C69" s="708">
        <v>3700</v>
      </c>
      <c r="D69" s="492"/>
      <c r="E69" s="1"/>
      <c r="F69" s="1"/>
      <c r="G69" s="1"/>
      <c r="H69" s="42"/>
    </row>
    <row r="70" spans="1:9">
      <c r="A70" s="834"/>
      <c r="B70" s="165" t="s">
        <v>597</v>
      </c>
      <c r="C70" s="708">
        <v>3700</v>
      </c>
      <c r="D70" s="492"/>
      <c r="E70" s="1"/>
      <c r="F70" s="1"/>
      <c r="G70" s="1"/>
      <c r="H70" s="42"/>
    </row>
    <row r="71" spans="1:9">
      <c r="A71" s="835"/>
      <c r="B71" s="165" t="s">
        <v>601</v>
      </c>
      <c r="C71" s="626">
        <v>3700</v>
      </c>
      <c r="D71" s="492"/>
      <c r="E71" s="1"/>
      <c r="F71" s="1"/>
      <c r="G71" s="1"/>
      <c r="H71" s="42"/>
    </row>
    <row r="72" spans="1:9">
      <c r="A72" s="835"/>
      <c r="B72" s="165" t="s">
        <v>602</v>
      </c>
      <c r="C72" s="626">
        <v>3700</v>
      </c>
      <c r="D72" s="492"/>
      <c r="E72" s="1"/>
      <c r="F72" s="1"/>
      <c r="G72" s="1"/>
      <c r="H72" s="42"/>
    </row>
    <row r="73" spans="1:9">
      <c r="A73" s="835"/>
      <c r="B73" s="165" t="s">
        <v>603</v>
      </c>
      <c r="C73" s="626">
        <v>3700</v>
      </c>
      <c r="D73" s="492"/>
      <c r="E73" s="1"/>
      <c r="F73" s="1"/>
      <c r="G73" s="1"/>
      <c r="H73" s="42"/>
    </row>
    <row r="74" spans="1:9">
      <c r="A74" s="835"/>
      <c r="B74" s="165" t="s">
        <v>604</v>
      </c>
      <c r="C74" s="627">
        <v>4834</v>
      </c>
      <c r="D74" s="492"/>
      <c r="E74" s="1"/>
      <c r="F74" s="1"/>
      <c r="G74" s="1"/>
      <c r="H74" s="42"/>
    </row>
    <row r="75" spans="1:9">
      <c r="A75" s="835"/>
      <c r="B75" s="165" t="s">
        <v>605</v>
      </c>
      <c r="C75" s="627">
        <f>H61/10000</f>
        <v>5099.0294117647063</v>
      </c>
      <c r="D75" s="492"/>
      <c r="E75" s="1"/>
      <c r="F75" s="1"/>
      <c r="G75" s="1"/>
      <c r="H75" s="42"/>
    </row>
    <row r="76" spans="1:9">
      <c r="A76" s="835"/>
      <c r="B76" s="165" t="s">
        <v>606</v>
      </c>
      <c r="C76" s="627"/>
      <c r="D76" s="492"/>
      <c r="E76" s="1"/>
      <c r="F76" s="1"/>
      <c r="G76" s="1"/>
      <c r="H76" s="42"/>
    </row>
    <row r="77" spans="1:9">
      <c r="A77" s="835"/>
      <c r="B77" s="165" t="s">
        <v>607</v>
      </c>
      <c r="C77" s="627"/>
      <c r="D77" s="492"/>
      <c r="E77" s="1"/>
      <c r="F77" s="1"/>
      <c r="G77" s="1"/>
      <c r="H77" s="42"/>
    </row>
    <row r="78" spans="1:9">
      <c r="A78" s="835"/>
      <c r="B78" s="165" t="s">
        <v>608</v>
      </c>
      <c r="C78" s="627"/>
      <c r="D78" s="492"/>
      <c r="E78" s="1"/>
      <c r="F78" s="1"/>
      <c r="G78" s="1"/>
      <c r="H78" s="42"/>
    </row>
    <row r="79" spans="1:9" ht="17.5" thickBot="1">
      <c r="A79" s="836"/>
      <c r="B79" s="490" t="s">
        <v>853</v>
      </c>
      <c r="C79" s="628"/>
      <c r="D79" s="493"/>
      <c r="E79" s="486"/>
      <c r="F79" s="486"/>
      <c r="G79" s="486"/>
      <c r="H79" s="487"/>
    </row>
    <row r="80" spans="1:9">
      <c r="A80" s="826" t="s">
        <v>650</v>
      </c>
      <c r="B80" s="564"/>
      <c r="C80" s="565"/>
      <c r="D80" s="566"/>
      <c r="E80" s="559"/>
      <c r="F80" s="559"/>
      <c r="G80" s="559"/>
      <c r="H80" s="567"/>
    </row>
    <row r="81" spans="1:8" ht="15" customHeight="1">
      <c r="A81" s="827"/>
      <c r="B81" s="206"/>
      <c r="H81" s="114"/>
    </row>
    <row r="82" spans="1:8" ht="15" customHeight="1">
      <c r="A82" s="827"/>
      <c r="B82" s="206"/>
      <c r="H82" s="114"/>
    </row>
    <row r="83" spans="1:8" ht="15" customHeight="1">
      <c r="A83" s="827"/>
      <c r="B83" s="206"/>
      <c r="H83" s="114"/>
    </row>
    <row r="84" spans="1:8" ht="15" customHeight="1">
      <c r="A84" s="827"/>
      <c r="B84" s="206"/>
      <c r="H84" s="114"/>
    </row>
    <row r="85" spans="1:8">
      <c r="A85" s="827"/>
      <c r="B85" s="206"/>
      <c r="H85" s="114"/>
    </row>
    <row r="86" spans="1:8">
      <c r="A86" s="827"/>
      <c r="B86" s="206"/>
      <c r="H86" s="114"/>
    </row>
    <row r="87" spans="1:8">
      <c r="A87" s="827"/>
      <c r="B87" s="206"/>
      <c r="H87" s="114"/>
    </row>
    <row r="88" spans="1:8">
      <c r="A88" s="827"/>
      <c r="B88" s="206"/>
      <c r="H88" s="114"/>
    </row>
    <row r="89" spans="1:8">
      <c r="A89" s="827"/>
      <c r="B89" s="608"/>
      <c r="H89" s="114"/>
    </row>
    <row r="90" spans="1:8" ht="16.5" thickBot="1">
      <c r="A90" s="828"/>
      <c r="B90" s="568"/>
      <c r="C90" s="569"/>
      <c r="D90" s="570"/>
      <c r="E90" s="571"/>
      <c r="F90" s="571"/>
      <c r="G90" s="571"/>
      <c r="H90" s="572"/>
    </row>
  </sheetData>
  <mergeCells count="21">
    <mergeCell ref="A20:A28"/>
    <mergeCell ref="A30:A43"/>
    <mergeCell ref="A45:A55"/>
    <mergeCell ref="A1:H1"/>
    <mergeCell ref="A2:A18"/>
    <mergeCell ref="C4:D4"/>
    <mergeCell ref="D7:E7"/>
    <mergeCell ref="G7:H7"/>
    <mergeCell ref="C15:D15"/>
    <mergeCell ref="B17:B18"/>
    <mergeCell ref="C5:D5"/>
    <mergeCell ref="C6:D6"/>
    <mergeCell ref="C3:D3"/>
    <mergeCell ref="F14:G14"/>
    <mergeCell ref="F15:H15"/>
    <mergeCell ref="F10:H10"/>
    <mergeCell ref="I57:I60"/>
    <mergeCell ref="A68:A79"/>
    <mergeCell ref="D68:H68"/>
    <mergeCell ref="A80:A90"/>
    <mergeCell ref="A57:A67"/>
  </mergeCells>
  <phoneticPr fontId="16" type="noConversion"/>
  <pageMargins left="0.69972223043441772" right="0.69972223043441772" top="0.75" bottom="0.75" header="0.30000001192092896" footer="0.30000001192092896"/>
  <pageSetup paperSize="9" scale="71" orientation="portrait" horizontalDpi="4294967293" verticalDpi="4294967293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CC"/>
  </sheetPr>
  <dimension ref="A1:I82"/>
  <sheetViews>
    <sheetView showGridLines="0" topLeftCell="A51" zoomScale="70" zoomScaleNormal="70" zoomScaleSheetLayoutView="70" workbookViewId="0">
      <selection activeCell="C72" sqref="C72"/>
    </sheetView>
  </sheetViews>
  <sheetFormatPr defaultColWidth="13.4140625" defaultRowHeight="16"/>
  <cols>
    <col min="1" max="1" width="4.9140625" style="1" customWidth="1"/>
    <col min="2" max="2" width="17.5" style="2" bestFit="1" customWidth="1"/>
    <col min="3" max="3" width="26.25" style="3" bestFit="1" customWidth="1"/>
    <col min="4" max="4" width="19.6640625" style="4" customWidth="1"/>
    <col min="5" max="5" width="21.6640625" style="1" bestFit="1" customWidth="1"/>
    <col min="6" max="6" width="18.6640625" style="1" customWidth="1"/>
    <col min="7" max="7" width="18.08203125" style="1" bestFit="1" customWidth="1"/>
    <col min="8" max="8" width="12.08203125" style="1" bestFit="1" customWidth="1"/>
    <col min="9" max="9" width="27.25" style="1" bestFit="1" customWidth="1"/>
    <col min="10" max="16384" width="13.4140625" style="1"/>
  </cols>
  <sheetData>
    <row r="1" spans="1:8" ht="31.5" customHeight="1" thickBot="1">
      <c r="A1" s="872" t="s">
        <v>681</v>
      </c>
      <c r="B1" s="873"/>
      <c r="C1" s="873"/>
      <c r="D1" s="873"/>
      <c r="E1" s="873"/>
      <c r="F1" s="873"/>
      <c r="G1" s="873"/>
      <c r="H1" s="874"/>
    </row>
    <row r="2" spans="1:8">
      <c r="A2" s="875" t="s">
        <v>112</v>
      </c>
      <c r="B2" s="6" t="s">
        <v>420</v>
      </c>
      <c r="C2" s="7" t="s">
        <v>682</v>
      </c>
      <c r="D2" s="8"/>
      <c r="E2" s="9"/>
      <c r="F2" s="9"/>
      <c r="G2" s="9"/>
      <c r="H2" s="10"/>
    </row>
    <row r="3" spans="1:8">
      <c r="A3" s="876"/>
      <c r="B3" s="11" t="s">
        <v>471</v>
      </c>
      <c r="C3" s="12" t="s">
        <v>683</v>
      </c>
      <c r="D3" s="13"/>
      <c r="E3" s="14"/>
      <c r="F3" s="14"/>
      <c r="G3" s="14"/>
      <c r="H3" s="15"/>
    </row>
    <row r="4" spans="1:8">
      <c r="A4" s="876"/>
      <c r="B4" s="11" t="s">
        <v>407</v>
      </c>
      <c r="C4" s="856" t="s">
        <v>684</v>
      </c>
      <c r="D4" s="857"/>
      <c r="E4" s="548" t="s">
        <v>644</v>
      </c>
      <c r="F4" s="529">
        <v>4500000</v>
      </c>
      <c r="G4" s="14"/>
      <c r="H4" s="15"/>
    </row>
    <row r="5" spans="1:8" ht="31.75" customHeight="1">
      <c r="A5" s="827"/>
      <c r="B5" s="16" t="s">
        <v>626</v>
      </c>
      <c r="C5" s="17">
        <v>53905</v>
      </c>
      <c r="D5" s="882" t="s">
        <v>624</v>
      </c>
      <c r="E5" s="859"/>
      <c r="F5" s="250">
        <f>C5*0.3025/C7</f>
        <v>27.405483193277309</v>
      </c>
      <c r="G5" s="858" t="s">
        <v>522</v>
      </c>
      <c r="H5" s="883"/>
    </row>
    <row r="6" spans="1:8">
      <c r="A6" s="827"/>
      <c r="B6" s="16" t="s">
        <v>425</v>
      </c>
      <c r="C6" s="17">
        <v>10</v>
      </c>
      <c r="D6" s="544" t="s">
        <v>627</v>
      </c>
      <c r="E6" s="530"/>
      <c r="F6" s="538" t="s">
        <v>628</v>
      </c>
      <c r="G6" s="884">
        <f>C5-E6</f>
        <v>53905</v>
      </c>
      <c r="H6" s="885"/>
    </row>
    <row r="7" spans="1:8">
      <c r="A7" s="827"/>
      <c r="B7" s="16" t="s">
        <v>121</v>
      </c>
      <c r="C7" s="17">
        <v>595</v>
      </c>
      <c r="D7" s="21" t="s">
        <v>39</v>
      </c>
      <c r="E7" s="251">
        <f>C7/C9</f>
        <v>0.48100242522231207</v>
      </c>
      <c r="F7" s="18"/>
      <c r="G7" s="19"/>
      <c r="H7" s="20"/>
    </row>
    <row r="8" spans="1:8">
      <c r="A8" s="827"/>
      <c r="B8" s="16" t="s">
        <v>54</v>
      </c>
      <c r="C8" s="249">
        <f>C9-C7</f>
        <v>642</v>
      </c>
      <c r="D8" s="21" t="s">
        <v>145</v>
      </c>
      <c r="E8" s="251">
        <f>C8/C9</f>
        <v>0.51899757477768793</v>
      </c>
      <c r="F8" s="863" t="s">
        <v>29</v>
      </c>
      <c r="G8" s="864"/>
      <c r="H8" s="865"/>
    </row>
    <row r="9" spans="1:8">
      <c r="A9" s="827"/>
      <c r="B9" s="16" t="s">
        <v>125</v>
      </c>
      <c r="C9" s="17">
        <v>1237</v>
      </c>
      <c r="D9" s="583" t="s">
        <v>525</v>
      </c>
      <c r="E9" s="19"/>
      <c r="F9" s="19"/>
      <c r="G9" s="19"/>
      <c r="H9" s="20"/>
    </row>
    <row r="10" spans="1:8">
      <c r="A10" s="827"/>
      <c r="B10" s="16" t="s">
        <v>427</v>
      </c>
      <c r="C10" s="24">
        <v>0.18110000000000001</v>
      </c>
      <c r="D10" s="551" t="s">
        <v>84</v>
      </c>
      <c r="E10" s="545">
        <f>G6*C10</f>
        <v>9762.1954999999998</v>
      </c>
      <c r="F10" s="544" t="s">
        <v>41</v>
      </c>
      <c r="G10" s="541">
        <f>E11/E10</f>
        <v>13.692987299834346</v>
      </c>
      <c r="H10" s="29"/>
    </row>
    <row r="11" spans="1:8">
      <c r="A11" s="827"/>
      <c r="B11" s="16" t="s">
        <v>466</v>
      </c>
      <c r="C11" s="24">
        <v>2.4798</v>
      </c>
      <c r="D11" s="551" t="s">
        <v>631</v>
      </c>
      <c r="E11" s="546">
        <f>G6*C11</f>
        <v>133673.61900000001</v>
      </c>
      <c r="F11" s="544" t="s">
        <v>209</v>
      </c>
      <c r="G11" s="541">
        <f>E11*76%</f>
        <v>101591.95044</v>
      </c>
      <c r="H11" s="31"/>
    </row>
    <row r="12" spans="1:8" ht="32">
      <c r="A12" s="827"/>
      <c r="B12" s="16" t="s">
        <v>208</v>
      </c>
      <c r="C12" s="588" t="s">
        <v>712</v>
      </c>
      <c r="D12" s="550" t="s">
        <v>629</v>
      </c>
      <c r="E12" s="529" t="s">
        <v>713</v>
      </c>
      <c r="F12" s="542" t="s">
        <v>234</v>
      </c>
      <c r="G12" s="543">
        <f>G11/C38</f>
        <v>1.0311914497711101</v>
      </c>
      <c r="H12" s="55"/>
    </row>
    <row r="13" spans="1:8">
      <c r="A13" s="827"/>
      <c r="B13" s="16" t="s">
        <v>441</v>
      </c>
      <c r="C13" s="25" t="s">
        <v>685</v>
      </c>
      <c r="D13" s="544" t="s">
        <v>630</v>
      </c>
      <c r="E13" s="547" t="e">
        <f>C7*E12</f>
        <v>#VALUE!</v>
      </c>
      <c r="F13" s="540" t="s">
        <v>632</v>
      </c>
      <c r="G13" s="541">
        <f>E11*0.3025/F5</f>
        <v>1475.4810000000002</v>
      </c>
      <c r="H13" s="20"/>
    </row>
    <row r="14" spans="1:8">
      <c r="A14" s="827"/>
      <c r="B14" s="32" t="s">
        <v>641</v>
      </c>
      <c r="C14" s="33">
        <v>1.1000000000000001</v>
      </c>
      <c r="D14" s="549" t="s">
        <v>633</v>
      </c>
      <c r="E14" s="530" t="s">
        <v>713</v>
      </c>
      <c r="F14" s="538" t="s">
        <v>645</v>
      </c>
      <c r="G14" s="539" t="e">
        <f>E14*G13</f>
        <v>#VALUE!</v>
      </c>
      <c r="H14" s="20"/>
    </row>
    <row r="15" spans="1:8" ht="3.65" customHeight="1" thickBot="1">
      <c r="A15" s="827"/>
      <c r="B15" s="516"/>
      <c r="C15" s="517"/>
      <c r="D15" s="518"/>
      <c r="E15" s="155"/>
      <c r="F15" s="514"/>
      <c r="G15" s="519"/>
      <c r="H15" s="156"/>
    </row>
    <row r="16" spans="1:8" ht="16.5" thickTop="1">
      <c r="A16" s="877"/>
      <c r="B16" s="520" t="s">
        <v>635</v>
      </c>
      <c r="C16" s="521" t="e">
        <f>E16+G16</f>
        <v>#VALUE!</v>
      </c>
      <c r="D16" s="522" t="s">
        <v>643</v>
      </c>
      <c r="E16" s="523" t="e">
        <f>G14*F4</f>
        <v>#VALUE!</v>
      </c>
      <c r="F16" s="524" t="s">
        <v>634</v>
      </c>
      <c r="G16" s="523" t="e">
        <f>E16*30%</f>
        <v>#VALUE!</v>
      </c>
      <c r="H16" s="525"/>
    </row>
    <row r="17" spans="1:8">
      <c r="A17" s="877"/>
      <c r="B17" s="526" t="s">
        <v>638</v>
      </c>
      <c r="C17" s="527" t="e">
        <f>(E17*C7)+(G17*C8)</f>
        <v>#VALUE!</v>
      </c>
      <c r="D17" s="528" t="s">
        <v>636</v>
      </c>
      <c r="E17" s="529" t="s">
        <v>713</v>
      </c>
      <c r="F17" s="530" t="s">
        <v>637</v>
      </c>
      <c r="G17" s="529" t="s">
        <v>713</v>
      </c>
      <c r="H17" s="531"/>
    </row>
    <row r="18" spans="1:8" ht="32.5" thickBot="1">
      <c r="A18" s="877"/>
      <c r="B18" s="532" t="s">
        <v>642</v>
      </c>
      <c r="C18" s="533" t="e">
        <f>E18/E13</f>
        <v>#VALUE!</v>
      </c>
      <c r="D18" s="534" t="s">
        <v>639</v>
      </c>
      <c r="E18" s="535" t="e">
        <f>C17-C16</f>
        <v>#VALUE!</v>
      </c>
      <c r="F18" s="536" t="s">
        <v>640</v>
      </c>
      <c r="G18" s="535" t="e">
        <f>E18/C7</f>
        <v>#VALUE!</v>
      </c>
      <c r="H18" s="537"/>
    </row>
    <row r="19" spans="1:8" ht="5.25" customHeight="1" thickTop="1" thickBot="1">
      <c r="A19" s="39"/>
      <c r="B19" s="515"/>
      <c r="C19" s="41"/>
      <c r="D19" s="41"/>
      <c r="H19" s="42"/>
    </row>
    <row r="20" spans="1:8">
      <c r="A20" s="875" t="s">
        <v>49</v>
      </c>
      <c r="B20" s="43" t="s">
        <v>81</v>
      </c>
      <c r="C20" s="44" t="s">
        <v>704</v>
      </c>
      <c r="D20" s="45"/>
      <c r="E20" s="9"/>
      <c r="F20" s="9"/>
      <c r="G20" s="9"/>
      <c r="H20" s="10"/>
    </row>
    <row r="21" spans="1:8">
      <c r="A21" s="827"/>
      <c r="B21" s="25" t="s">
        <v>147</v>
      </c>
      <c r="C21" s="46" t="s">
        <v>705</v>
      </c>
      <c r="D21" s="47"/>
      <c r="E21" s="19"/>
      <c r="F21" s="19"/>
      <c r="G21" s="19"/>
      <c r="H21" s="20"/>
    </row>
    <row r="22" spans="1:8">
      <c r="A22" s="827"/>
      <c r="B22" s="25" t="s">
        <v>98</v>
      </c>
      <c r="C22" s="46" t="s">
        <v>706</v>
      </c>
      <c r="D22" s="47"/>
      <c r="E22" s="19"/>
      <c r="F22" s="19"/>
      <c r="G22" s="19"/>
      <c r="H22" s="20"/>
    </row>
    <row r="23" spans="1:8">
      <c r="A23" s="827"/>
      <c r="B23" s="25" t="s">
        <v>73</v>
      </c>
      <c r="C23" s="25" t="s">
        <v>707</v>
      </c>
      <c r="D23" s="23"/>
      <c r="E23" s="19"/>
      <c r="F23" s="19"/>
      <c r="G23" s="19"/>
      <c r="H23" s="20"/>
    </row>
    <row r="24" spans="1:8">
      <c r="A24" s="827"/>
      <c r="B24" s="25" t="s">
        <v>452</v>
      </c>
      <c r="C24" s="25" t="s">
        <v>708</v>
      </c>
      <c r="D24" s="23"/>
      <c r="E24" s="19"/>
      <c r="F24" s="19"/>
      <c r="G24" s="19"/>
      <c r="H24" s="20"/>
    </row>
    <row r="25" spans="1:8">
      <c r="A25" s="827"/>
      <c r="B25" s="25" t="s">
        <v>445</v>
      </c>
      <c r="C25" s="25" t="s">
        <v>593</v>
      </c>
      <c r="D25" s="23"/>
      <c r="E25" s="19"/>
      <c r="F25" s="19"/>
      <c r="G25" s="19"/>
      <c r="H25" s="20"/>
    </row>
    <row r="26" spans="1:8">
      <c r="A26" s="827"/>
      <c r="B26" s="25" t="s">
        <v>167</v>
      </c>
      <c r="C26" s="25" t="s">
        <v>686</v>
      </c>
      <c r="D26" s="23"/>
      <c r="E26" s="19"/>
      <c r="F26" s="19"/>
      <c r="G26" s="19"/>
      <c r="H26" s="20"/>
    </row>
    <row r="27" spans="1:8" ht="16.5" thickBot="1">
      <c r="A27" s="828"/>
      <c r="B27" s="584" t="s">
        <v>447</v>
      </c>
      <c r="C27" s="584" t="s">
        <v>687</v>
      </c>
      <c r="D27" s="48"/>
      <c r="E27" s="37"/>
      <c r="F27" s="37"/>
      <c r="G27" s="37"/>
      <c r="H27" s="38"/>
    </row>
    <row r="28" spans="1:8" ht="5.25" customHeight="1" thickBot="1">
      <c r="A28" s="39"/>
      <c r="B28" s="40"/>
      <c r="H28" s="42"/>
    </row>
    <row r="29" spans="1:8" s="5" customFormat="1">
      <c r="A29" s="875" t="s">
        <v>160</v>
      </c>
      <c r="B29" s="241" t="s">
        <v>101</v>
      </c>
      <c r="C29" s="242" t="s">
        <v>48</v>
      </c>
      <c r="D29" s="243" t="s">
        <v>125</v>
      </c>
      <c r="E29" s="243" t="s">
        <v>691</v>
      </c>
      <c r="F29" s="243" t="s">
        <v>692</v>
      </c>
      <c r="G29" s="243" t="s">
        <v>693</v>
      </c>
      <c r="H29" s="244" t="s">
        <v>454</v>
      </c>
    </row>
    <row r="30" spans="1:8">
      <c r="A30" s="827"/>
      <c r="B30" s="16" t="s">
        <v>317</v>
      </c>
      <c r="C30" s="53">
        <f>38*D30</f>
        <v>2432</v>
      </c>
      <c r="D30" s="17">
        <v>64</v>
      </c>
      <c r="E30" s="54"/>
      <c r="F30" s="54"/>
      <c r="G30" s="54"/>
      <c r="H30" s="55">
        <f t="shared" ref="H30:H37" si="0">D30/$D$38</f>
        <v>5.1738075990299108E-2</v>
      </c>
    </row>
    <row r="31" spans="1:8">
      <c r="A31" s="827"/>
      <c r="B31" s="16" t="s">
        <v>88</v>
      </c>
      <c r="C31" s="53">
        <f>59*D31</f>
        <v>9617</v>
      </c>
      <c r="D31" s="17">
        <v>163</v>
      </c>
      <c r="E31" s="54">
        <v>74</v>
      </c>
      <c r="F31" s="160">
        <f>D31-E31</f>
        <v>89</v>
      </c>
      <c r="G31" s="54"/>
      <c r="H31" s="55">
        <f t="shared" si="0"/>
        <v>0.13177041228779304</v>
      </c>
    </row>
    <row r="32" spans="1:8">
      <c r="A32" s="827"/>
      <c r="B32" s="16" t="s">
        <v>193</v>
      </c>
      <c r="C32" s="53">
        <f>84*D32</f>
        <v>27972</v>
      </c>
      <c r="D32" s="17">
        <v>333</v>
      </c>
      <c r="E32" s="54">
        <v>263</v>
      </c>
      <c r="F32" s="160">
        <f t="shared" ref="F32:F37" si="1">D32-E32</f>
        <v>70</v>
      </c>
      <c r="G32" s="54">
        <v>2</v>
      </c>
      <c r="H32" s="55">
        <f t="shared" si="0"/>
        <v>0.26919967663702504</v>
      </c>
    </row>
    <row r="33" spans="1:8">
      <c r="A33" s="827"/>
      <c r="B33" s="16" t="s">
        <v>56</v>
      </c>
      <c r="C33" s="53">
        <f>84*D33</f>
        <v>28476</v>
      </c>
      <c r="D33" s="17">
        <v>339</v>
      </c>
      <c r="E33" s="54">
        <v>106</v>
      </c>
      <c r="F33" s="160">
        <f t="shared" si="1"/>
        <v>233</v>
      </c>
      <c r="G33" s="54">
        <v>1</v>
      </c>
      <c r="H33" s="55">
        <f t="shared" si="0"/>
        <v>0.27405012126111561</v>
      </c>
    </row>
    <row r="34" spans="1:8">
      <c r="A34" s="827"/>
      <c r="B34" s="16" t="s">
        <v>688</v>
      </c>
      <c r="C34" s="53">
        <f>78*D34</f>
        <v>8346</v>
      </c>
      <c r="D34" s="17">
        <v>107</v>
      </c>
      <c r="E34" s="54">
        <v>29</v>
      </c>
      <c r="F34" s="160">
        <f t="shared" si="1"/>
        <v>78</v>
      </c>
      <c r="G34" s="54"/>
      <c r="H34" s="55">
        <f t="shared" si="0"/>
        <v>8.6499595796281331E-2</v>
      </c>
    </row>
    <row r="35" spans="1:8">
      <c r="A35" s="827"/>
      <c r="B35" s="16" t="s">
        <v>689</v>
      </c>
      <c r="C35" s="53">
        <f>78*D35</f>
        <v>8346</v>
      </c>
      <c r="D35" s="17">
        <v>107</v>
      </c>
      <c r="E35" s="54">
        <v>0</v>
      </c>
      <c r="F35" s="160">
        <f t="shared" si="1"/>
        <v>107</v>
      </c>
      <c r="G35" s="54">
        <v>1</v>
      </c>
      <c r="H35" s="55">
        <f t="shared" si="0"/>
        <v>8.6499595796281331E-2</v>
      </c>
    </row>
    <row r="36" spans="1:8">
      <c r="A36" s="827"/>
      <c r="B36" s="129" t="s">
        <v>690</v>
      </c>
      <c r="C36" s="53">
        <f>100*D36</f>
        <v>6200</v>
      </c>
      <c r="D36" s="17">
        <v>62</v>
      </c>
      <c r="E36" s="54">
        <v>61</v>
      </c>
      <c r="F36" s="160">
        <f t="shared" si="1"/>
        <v>1</v>
      </c>
      <c r="G36" s="54">
        <v>2</v>
      </c>
      <c r="H36" s="55">
        <f t="shared" si="0"/>
        <v>5.0121261115602264E-2</v>
      </c>
    </row>
    <row r="37" spans="1:8">
      <c r="A37" s="827"/>
      <c r="B37" s="16" t="s">
        <v>114</v>
      </c>
      <c r="C37" s="53">
        <f>115*D37</f>
        <v>7130</v>
      </c>
      <c r="D37" s="17">
        <v>62</v>
      </c>
      <c r="E37" s="54">
        <v>62</v>
      </c>
      <c r="F37" s="160">
        <f t="shared" si="1"/>
        <v>0</v>
      </c>
      <c r="G37" s="54"/>
      <c r="H37" s="55">
        <f t="shared" si="0"/>
        <v>5.0121261115602264E-2</v>
      </c>
    </row>
    <row r="38" spans="1:8" ht="16.5" thickBot="1">
      <c r="A38" s="828"/>
      <c r="B38" s="56" t="s">
        <v>462</v>
      </c>
      <c r="C38" s="57">
        <f t="shared" ref="C38:H38" si="2">SUM(C30:C37)</f>
        <v>98519</v>
      </c>
      <c r="D38" s="58">
        <f t="shared" si="2"/>
        <v>1237</v>
      </c>
      <c r="E38" s="59">
        <f t="shared" si="2"/>
        <v>595</v>
      </c>
      <c r="F38" s="59">
        <f t="shared" si="2"/>
        <v>578</v>
      </c>
      <c r="G38" s="59">
        <f t="shared" si="2"/>
        <v>6</v>
      </c>
      <c r="H38" s="60">
        <f t="shared" si="2"/>
        <v>0.99999999999999989</v>
      </c>
    </row>
    <row r="39" spans="1:8" ht="4.5" customHeight="1" thickBot="1">
      <c r="A39" s="39"/>
      <c r="B39" s="40"/>
      <c r="H39" s="42"/>
    </row>
    <row r="40" spans="1:8" s="2" customFormat="1">
      <c r="A40" s="879" t="s">
        <v>393</v>
      </c>
      <c r="B40" s="241" t="s">
        <v>101</v>
      </c>
      <c r="C40" s="243" t="s">
        <v>901</v>
      </c>
      <c r="D40" s="243" t="s">
        <v>902</v>
      </c>
      <c r="E40" s="243" t="s">
        <v>43</v>
      </c>
      <c r="F40" s="243" t="s">
        <v>903</v>
      </c>
      <c r="G40" s="245" t="s">
        <v>46</v>
      </c>
      <c r="H40" s="246" t="s">
        <v>470</v>
      </c>
    </row>
    <row r="41" spans="1:8" ht="16.5" customHeight="1">
      <c r="A41" s="880"/>
      <c r="B41" s="16" t="s">
        <v>317</v>
      </c>
      <c r="C41" s="62"/>
      <c r="D41" s="63"/>
      <c r="E41" s="252"/>
      <c r="F41" s="63"/>
      <c r="G41" s="252"/>
      <c r="H41" s="31"/>
    </row>
    <row r="42" spans="1:8" ht="16.5" customHeight="1">
      <c r="A42" s="880"/>
      <c r="B42" s="16" t="s">
        <v>88</v>
      </c>
      <c r="C42" s="62">
        <f>288000000/25</f>
        <v>11520000</v>
      </c>
      <c r="D42" s="63">
        <v>16000000</v>
      </c>
      <c r="E42" s="252">
        <f>(D42-C42)*25</f>
        <v>112000000</v>
      </c>
      <c r="F42" s="63"/>
      <c r="G42" s="252">
        <f>(F42-C42)*25</f>
        <v>-288000000</v>
      </c>
      <c r="H42" s="31"/>
    </row>
    <row r="43" spans="1:8" ht="16.5" customHeight="1">
      <c r="A43" s="880"/>
      <c r="B43" s="16" t="s">
        <v>193</v>
      </c>
      <c r="C43" s="724">
        <f>396000000/34</f>
        <v>11647058.823529411</v>
      </c>
      <c r="D43" s="63">
        <v>16000000</v>
      </c>
      <c r="E43" s="252">
        <f>(D43-C43)*25</f>
        <v>108823529.41176473</v>
      </c>
      <c r="F43" s="723">
        <v>30290000</v>
      </c>
      <c r="G43" s="252">
        <f>(F43-C43)*25</f>
        <v>466073529.41176474</v>
      </c>
      <c r="H43" s="31" t="s">
        <v>1189</v>
      </c>
    </row>
    <row r="44" spans="1:8" ht="16.5" customHeight="1">
      <c r="A44" s="880"/>
      <c r="B44" s="16" t="s">
        <v>56</v>
      </c>
      <c r="C44" s="62">
        <f>396000000/34</f>
        <v>11647058.823529411</v>
      </c>
      <c r="D44" s="63">
        <v>16000000</v>
      </c>
      <c r="E44" s="252">
        <f>(D44-C44)*34</f>
        <v>148000000.00000003</v>
      </c>
      <c r="F44" s="63"/>
      <c r="G44" s="252">
        <f>(F44-C44)*34</f>
        <v>-396000000</v>
      </c>
      <c r="H44" s="31"/>
    </row>
    <row r="45" spans="1:8" ht="16.5" customHeight="1">
      <c r="A45" s="880"/>
      <c r="B45" s="16" t="s">
        <v>688</v>
      </c>
      <c r="C45" s="62">
        <f>360000000/31</f>
        <v>11612903.225806452</v>
      </c>
      <c r="D45" s="63">
        <v>16000000</v>
      </c>
      <c r="E45" s="252">
        <f>(D45-C45)*34</f>
        <v>149161290.32258064</v>
      </c>
      <c r="F45" s="63"/>
      <c r="G45" s="252">
        <f>(F45-C45)*34</f>
        <v>-394838709.67741936</v>
      </c>
      <c r="H45" s="31"/>
    </row>
    <row r="46" spans="1:8" ht="16.5" customHeight="1">
      <c r="A46" s="880"/>
      <c r="B46" s="16" t="s">
        <v>689</v>
      </c>
      <c r="C46" s="62">
        <f>360000000/31</f>
        <v>11612903.225806452</v>
      </c>
      <c r="D46" s="63">
        <v>16000000</v>
      </c>
      <c r="E46" s="252">
        <f>(D46-C46)*39</f>
        <v>171096774.19354835</v>
      </c>
      <c r="F46" s="63"/>
      <c r="G46" s="252">
        <f>(F46-C46)*39</f>
        <v>-452903225.80645162</v>
      </c>
      <c r="H46" s="31"/>
    </row>
    <row r="47" spans="1:8" ht="16.5" customHeight="1" thickBot="1">
      <c r="A47" s="880"/>
      <c r="B47" s="129" t="s">
        <v>690</v>
      </c>
      <c r="C47" s="62">
        <f>468000000/40</f>
        <v>11700000</v>
      </c>
      <c r="D47" s="63">
        <v>16000000</v>
      </c>
      <c r="E47" s="252">
        <f>(D47-C47)*39</f>
        <v>167700000</v>
      </c>
      <c r="F47" s="63"/>
      <c r="G47" s="252">
        <f>(F47-C47)*39</f>
        <v>-456300000</v>
      </c>
      <c r="H47" s="31"/>
    </row>
    <row r="48" spans="1:8" ht="16.5" customHeight="1" thickBot="1">
      <c r="A48" s="881"/>
      <c r="B48" s="56" t="s">
        <v>114</v>
      </c>
      <c r="C48" s="64">
        <f>516000000/44</f>
        <v>11727272.727272727</v>
      </c>
      <c r="D48" s="65">
        <v>16000000</v>
      </c>
      <c r="E48" s="366">
        <f>(D48-C48)*39</f>
        <v>166636363.63636366</v>
      </c>
      <c r="F48" s="65"/>
      <c r="G48" s="366">
        <f>(F48-C48)*39</f>
        <v>-457363636.36363631</v>
      </c>
      <c r="H48" s="66"/>
    </row>
    <row r="49" spans="1:9" ht="5.25" customHeight="1" thickBot="1">
      <c r="A49" s="67"/>
      <c r="C49" s="68"/>
      <c r="D49" s="69"/>
      <c r="E49" s="69"/>
      <c r="F49" s="69"/>
      <c r="G49" s="69"/>
    </row>
    <row r="50" spans="1:9" ht="58">
      <c r="A50" s="833" t="s">
        <v>257</v>
      </c>
      <c r="B50" s="243" t="s">
        <v>101</v>
      </c>
      <c r="C50" s="508" t="s">
        <v>1395</v>
      </c>
      <c r="D50" s="247" t="s">
        <v>247</v>
      </c>
      <c r="E50" s="247" t="s">
        <v>322</v>
      </c>
      <c r="F50" s="247" t="s">
        <v>222</v>
      </c>
      <c r="G50" s="247" t="s">
        <v>367</v>
      </c>
      <c r="H50" s="243" t="s">
        <v>1136</v>
      </c>
      <c r="I50" s="824" t="s">
        <v>1206</v>
      </c>
    </row>
    <row r="51" spans="1:9" ht="15" customHeight="1">
      <c r="A51" s="878"/>
      <c r="B51" s="25" t="s">
        <v>264</v>
      </c>
      <c r="C51" s="71" t="s">
        <v>436</v>
      </c>
      <c r="D51" s="62">
        <f t="shared" ref="D51:D58" si="3">E41</f>
        <v>0</v>
      </c>
      <c r="E51" s="253" t="e">
        <f t="shared" ref="E51:E58" si="4">D51-C51</f>
        <v>#VALUE!</v>
      </c>
      <c r="F51" s="62">
        <f t="shared" ref="F51:F58" si="5">G41</f>
        <v>0</v>
      </c>
      <c r="G51" s="253" t="e">
        <f t="shared" ref="G51:G58" si="6">F51-C51</f>
        <v>#VALUE!</v>
      </c>
      <c r="H51" s="62"/>
      <c r="I51" s="825"/>
    </row>
    <row r="52" spans="1:9">
      <c r="A52" s="834"/>
      <c r="B52" s="25" t="s">
        <v>37</v>
      </c>
      <c r="C52" s="71" t="s">
        <v>697</v>
      </c>
      <c r="D52" s="62">
        <f t="shared" si="3"/>
        <v>112000000</v>
      </c>
      <c r="E52" s="253" t="e">
        <f t="shared" si="4"/>
        <v>#VALUE!</v>
      </c>
      <c r="F52" s="62">
        <f t="shared" si="5"/>
        <v>-288000000</v>
      </c>
      <c r="G52" s="253" t="e">
        <f t="shared" si="6"/>
        <v>#VALUE!</v>
      </c>
      <c r="H52" s="62"/>
      <c r="I52" s="825"/>
    </row>
    <row r="53" spans="1:9" ht="17">
      <c r="A53" s="834"/>
      <c r="B53" s="25" t="s">
        <v>86</v>
      </c>
      <c r="C53" s="71">
        <v>780000000</v>
      </c>
      <c r="D53" s="62">
        <f t="shared" si="3"/>
        <v>108823529.41176473</v>
      </c>
      <c r="E53" s="253">
        <f t="shared" si="4"/>
        <v>-671176470.58823526</v>
      </c>
      <c r="F53" s="62">
        <f t="shared" si="5"/>
        <v>466073529.41176474</v>
      </c>
      <c r="G53" s="253">
        <f t="shared" si="6"/>
        <v>-313926470.58823526</v>
      </c>
      <c r="H53" s="62">
        <f>(C53+(C43*34))/34</f>
        <v>34588235.294117644</v>
      </c>
      <c r="I53" s="751">
        <f>H53/F43</f>
        <v>1.1419027829025303</v>
      </c>
    </row>
    <row r="54" spans="1:9">
      <c r="A54" s="834"/>
      <c r="B54" s="25" t="s">
        <v>155</v>
      </c>
      <c r="C54" s="71" t="s">
        <v>697</v>
      </c>
      <c r="D54" s="62">
        <f t="shared" si="3"/>
        <v>148000000.00000003</v>
      </c>
      <c r="E54" s="253" t="e">
        <f t="shared" si="4"/>
        <v>#VALUE!</v>
      </c>
      <c r="F54" s="62">
        <f t="shared" si="5"/>
        <v>-396000000</v>
      </c>
      <c r="G54" s="253" t="e">
        <f t="shared" si="6"/>
        <v>#VALUE!</v>
      </c>
      <c r="H54" s="62"/>
      <c r="I54" s="31"/>
    </row>
    <row r="55" spans="1:9">
      <c r="A55" s="834"/>
      <c r="B55" s="25" t="s">
        <v>694</v>
      </c>
      <c r="C55" s="71" t="s">
        <v>697</v>
      </c>
      <c r="D55" s="62">
        <f t="shared" si="3"/>
        <v>149161290.32258064</v>
      </c>
      <c r="E55" s="253" t="e">
        <f t="shared" si="4"/>
        <v>#VALUE!</v>
      </c>
      <c r="F55" s="62">
        <f t="shared" si="5"/>
        <v>-394838709.67741936</v>
      </c>
      <c r="G55" s="253" t="e">
        <f t="shared" si="6"/>
        <v>#VALUE!</v>
      </c>
      <c r="H55" s="62"/>
      <c r="I55" s="31"/>
    </row>
    <row r="56" spans="1:9">
      <c r="A56" s="834"/>
      <c r="B56" s="25" t="s">
        <v>695</v>
      </c>
      <c r="C56" s="71" t="s">
        <v>436</v>
      </c>
      <c r="D56" s="62">
        <f t="shared" si="3"/>
        <v>171096774.19354835</v>
      </c>
      <c r="E56" s="253" t="e">
        <f>D56-C56</f>
        <v>#VALUE!</v>
      </c>
      <c r="F56" s="62">
        <f t="shared" si="5"/>
        <v>-452903225.80645162</v>
      </c>
      <c r="G56" s="253" t="e">
        <f t="shared" si="6"/>
        <v>#VALUE!</v>
      </c>
      <c r="H56" s="62"/>
      <c r="I56" s="31"/>
    </row>
    <row r="57" spans="1:9">
      <c r="A57" s="834"/>
      <c r="B57" s="25" t="s">
        <v>696</v>
      </c>
      <c r="C57" s="71" t="s">
        <v>436</v>
      </c>
      <c r="D57" s="62">
        <f t="shared" si="3"/>
        <v>167700000</v>
      </c>
      <c r="E57" s="253" t="e">
        <f t="shared" si="4"/>
        <v>#VALUE!</v>
      </c>
      <c r="F57" s="62">
        <f t="shared" si="5"/>
        <v>-456300000</v>
      </c>
      <c r="G57" s="253" t="e">
        <f t="shared" si="6"/>
        <v>#VALUE!</v>
      </c>
      <c r="H57" s="62"/>
      <c r="I57" s="31"/>
    </row>
    <row r="58" spans="1:9" ht="16.5" thickBot="1">
      <c r="A58" s="836"/>
      <c r="B58" s="716" t="s">
        <v>71</v>
      </c>
      <c r="C58" s="74" t="s">
        <v>436</v>
      </c>
      <c r="D58" s="64">
        <f t="shared" si="3"/>
        <v>166636363.63636366</v>
      </c>
      <c r="E58" s="255" t="e">
        <f t="shared" si="4"/>
        <v>#VALUE!</v>
      </c>
      <c r="F58" s="64">
        <f t="shared" si="5"/>
        <v>-457363636.36363631</v>
      </c>
      <c r="G58" s="255" t="e">
        <f t="shared" si="6"/>
        <v>#VALUE!</v>
      </c>
      <c r="H58" s="64"/>
      <c r="I58" s="66"/>
    </row>
    <row r="59" spans="1:9" ht="5" customHeight="1" thickBot="1"/>
    <row r="60" spans="1:9">
      <c r="A60" s="833" t="s">
        <v>598</v>
      </c>
      <c r="B60" s="243" t="s">
        <v>599</v>
      </c>
      <c r="C60" s="645" t="s">
        <v>660</v>
      </c>
      <c r="D60" s="815" t="s">
        <v>600</v>
      </c>
      <c r="E60" s="816"/>
      <c r="F60" s="816"/>
      <c r="G60" s="816"/>
      <c r="H60" s="817"/>
    </row>
    <row r="61" spans="1:9" ht="17">
      <c r="A61" s="834"/>
      <c r="B61" s="488" t="s">
        <v>612</v>
      </c>
      <c r="C61" s="625"/>
      <c r="D61" s="491"/>
      <c r="H61" s="42"/>
    </row>
    <row r="62" spans="1:9" ht="17">
      <c r="A62" s="834"/>
      <c r="B62" s="165" t="s">
        <v>596</v>
      </c>
      <c r="C62" s="625">
        <v>1605</v>
      </c>
      <c r="D62" s="492"/>
      <c r="H62" s="42"/>
    </row>
    <row r="63" spans="1:9">
      <c r="A63" s="834"/>
      <c r="B63" s="165" t="s">
        <v>597</v>
      </c>
      <c r="C63" s="626">
        <v>2047</v>
      </c>
      <c r="D63" s="492"/>
      <c r="H63" s="42"/>
    </row>
    <row r="64" spans="1:9">
      <c r="A64" s="835"/>
      <c r="B64" s="165" t="s">
        <v>601</v>
      </c>
      <c r="C64" s="627">
        <v>2300</v>
      </c>
      <c r="D64" s="492"/>
      <c r="H64" s="42"/>
    </row>
    <row r="65" spans="1:8">
      <c r="A65" s="835"/>
      <c r="B65" s="165" t="s">
        <v>602</v>
      </c>
      <c r="C65" s="627">
        <v>2400</v>
      </c>
      <c r="D65" s="492"/>
      <c r="H65" s="42"/>
    </row>
    <row r="66" spans="1:8">
      <c r="A66" s="835"/>
      <c r="B66" s="165" t="s">
        <v>603</v>
      </c>
      <c r="C66" s="627">
        <v>2694</v>
      </c>
      <c r="D66" s="492"/>
      <c r="H66" s="42"/>
    </row>
    <row r="67" spans="1:8">
      <c r="A67" s="835"/>
      <c r="B67" s="165" t="s">
        <v>604</v>
      </c>
      <c r="C67" s="627">
        <v>3459</v>
      </c>
      <c r="D67" s="492"/>
      <c r="H67" s="42"/>
    </row>
    <row r="68" spans="1:8">
      <c r="A68" s="835"/>
      <c r="B68" s="165" t="s">
        <v>1458</v>
      </c>
      <c r="C68" s="627">
        <f>H53/10000</f>
        <v>3458.8235294117644</v>
      </c>
      <c r="D68" s="492"/>
      <c r="H68" s="42"/>
    </row>
    <row r="69" spans="1:8">
      <c r="A69" s="835"/>
      <c r="B69" s="165" t="s">
        <v>1459</v>
      </c>
      <c r="C69" s="627"/>
      <c r="D69" s="492"/>
      <c r="H69" s="42"/>
    </row>
    <row r="70" spans="1:8">
      <c r="A70" s="835"/>
      <c r="B70" s="165" t="s">
        <v>1460</v>
      </c>
      <c r="C70" s="627"/>
      <c r="D70" s="492"/>
      <c r="H70" s="42"/>
    </row>
    <row r="71" spans="1:8">
      <c r="A71" s="835"/>
      <c r="B71" s="165" t="s">
        <v>1461</v>
      </c>
      <c r="C71" s="627"/>
      <c r="D71" s="492"/>
      <c r="H71" s="42"/>
    </row>
    <row r="72" spans="1:8">
      <c r="A72" s="835"/>
      <c r="B72" s="165" t="s">
        <v>1466</v>
      </c>
      <c r="C72" s="627"/>
      <c r="D72" s="492"/>
      <c r="H72" s="42"/>
    </row>
    <row r="73" spans="1:8" ht="17.5" thickBot="1">
      <c r="A73" s="836"/>
      <c r="B73" s="490" t="s">
        <v>614</v>
      </c>
      <c r="C73" s="628"/>
      <c r="D73" s="493"/>
      <c r="E73" s="486"/>
      <c r="F73" s="486"/>
      <c r="G73" s="486"/>
      <c r="H73" s="487"/>
    </row>
    <row r="74" spans="1:8">
      <c r="A74" s="826" t="s">
        <v>650</v>
      </c>
      <c r="B74" s="582" t="s">
        <v>698</v>
      </c>
      <c r="C74" s="565"/>
      <c r="D74" s="566"/>
      <c r="E74" s="559"/>
      <c r="F74" s="559"/>
      <c r="G74" s="559"/>
      <c r="H74" s="567"/>
    </row>
    <row r="75" spans="1:8">
      <c r="A75" s="827"/>
      <c r="B75" s="206" t="s">
        <v>709</v>
      </c>
      <c r="C75" s="78"/>
      <c r="D75" s="79"/>
      <c r="E75" s="76"/>
      <c r="F75" s="76"/>
      <c r="G75" s="76"/>
      <c r="H75" s="114"/>
    </row>
    <row r="76" spans="1:8">
      <c r="A76" s="827"/>
      <c r="B76" s="206" t="s">
        <v>699</v>
      </c>
      <c r="C76" s="78"/>
      <c r="D76" s="79"/>
      <c r="E76" s="76"/>
      <c r="F76" s="76"/>
      <c r="G76" s="76"/>
      <c r="H76" s="114"/>
    </row>
    <row r="77" spans="1:8">
      <c r="A77" s="827"/>
      <c r="B77" s="206" t="s">
        <v>710</v>
      </c>
      <c r="C77" s="78"/>
      <c r="D77" s="79"/>
      <c r="E77" s="76"/>
      <c r="F77" s="76"/>
      <c r="G77" s="76"/>
      <c r="H77" s="114"/>
    </row>
    <row r="78" spans="1:8">
      <c r="A78" s="827"/>
      <c r="B78" s="206" t="s">
        <v>700</v>
      </c>
      <c r="C78" s="78"/>
      <c r="D78" s="79"/>
      <c r="E78" s="76"/>
      <c r="F78" s="76"/>
      <c r="G78" s="76"/>
      <c r="H78" s="114"/>
    </row>
    <row r="79" spans="1:8">
      <c r="A79" s="827"/>
      <c r="B79" s="206" t="s">
        <v>701</v>
      </c>
      <c r="C79" s="78"/>
      <c r="D79" s="79"/>
      <c r="E79" s="76"/>
      <c r="F79" s="76"/>
      <c r="G79" s="76"/>
      <c r="H79" s="114"/>
    </row>
    <row r="80" spans="1:8">
      <c r="A80" s="827"/>
      <c r="B80" s="206" t="s">
        <v>702</v>
      </c>
      <c r="C80" s="78"/>
      <c r="D80" s="79"/>
      <c r="E80" s="76"/>
      <c r="F80" s="76"/>
      <c r="G80" s="76"/>
      <c r="H80" s="114"/>
    </row>
    <row r="81" spans="1:8">
      <c r="A81" s="827"/>
      <c r="B81" s="206" t="s">
        <v>711</v>
      </c>
      <c r="C81" s="78"/>
      <c r="D81" s="79"/>
      <c r="E81" s="76"/>
      <c r="F81" s="76"/>
      <c r="G81" s="76"/>
      <c r="H81" s="114"/>
    </row>
    <row r="82" spans="1:8" ht="16.5" thickBot="1">
      <c r="A82" s="828"/>
      <c r="B82" s="568" t="s">
        <v>703</v>
      </c>
      <c r="C82" s="569"/>
      <c r="D82" s="570"/>
      <c r="E82" s="571"/>
      <c r="F82" s="571"/>
      <c r="G82" s="571"/>
      <c r="H82" s="572"/>
    </row>
  </sheetData>
  <mergeCells count="15">
    <mergeCell ref="A1:H1"/>
    <mergeCell ref="A2:A18"/>
    <mergeCell ref="C4:D4"/>
    <mergeCell ref="D5:E5"/>
    <mergeCell ref="G5:H5"/>
    <mergeCell ref="G6:H6"/>
    <mergeCell ref="F8:H8"/>
    <mergeCell ref="I50:I52"/>
    <mergeCell ref="A74:A82"/>
    <mergeCell ref="A20:A27"/>
    <mergeCell ref="A29:A38"/>
    <mergeCell ref="A40:A48"/>
    <mergeCell ref="A50:A58"/>
    <mergeCell ref="A60:A73"/>
    <mergeCell ref="D60:H60"/>
  </mergeCells>
  <phoneticPr fontId="16" type="noConversion"/>
  <pageMargins left="0.69972223043441772" right="0.69972223043441772" top="0.75" bottom="0.75" header="0.30000001192092896" footer="0.30000001192092896"/>
  <pageSetup paperSize="9" scale="86" orientation="portrait" horizontalDpi="4294967293" verticalDpi="4294967293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0000CC"/>
  </sheetPr>
  <dimension ref="A1:L78"/>
  <sheetViews>
    <sheetView showGridLines="0" zoomScale="85" zoomScaleNormal="85" zoomScaleSheetLayoutView="85" workbookViewId="0">
      <selection activeCell="J7" sqref="J7"/>
    </sheetView>
  </sheetViews>
  <sheetFormatPr defaultColWidth="13.4140625" defaultRowHeight="16"/>
  <cols>
    <col min="1" max="1" width="4.9140625" style="1" customWidth="1"/>
    <col min="2" max="2" width="16.75" style="2" customWidth="1"/>
    <col min="3" max="3" width="24.33203125" style="3" bestFit="1" customWidth="1"/>
    <col min="4" max="4" width="18.25" style="4" bestFit="1" customWidth="1"/>
    <col min="5" max="5" width="15" style="1" bestFit="1" customWidth="1"/>
    <col min="6" max="6" width="15.75" style="1" bestFit="1" customWidth="1"/>
    <col min="7" max="7" width="13" style="1" bestFit="1" customWidth="1"/>
    <col min="8" max="8" width="12.1640625" style="1" bestFit="1" customWidth="1"/>
    <col min="9" max="9" width="26.33203125" style="1" bestFit="1" customWidth="1"/>
    <col min="10" max="16384" width="13.4140625" style="1"/>
  </cols>
  <sheetData>
    <row r="1" spans="1:8" ht="30.75" customHeight="1">
      <c r="A1" s="913" t="s">
        <v>229</v>
      </c>
      <c r="B1" s="914"/>
      <c r="C1" s="914"/>
      <c r="D1" s="914"/>
      <c r="E1" s="914"/>
      <c r="F1" s="914"/>
      <c r="G1" s="914"/>
      <c r="H1" s="915"/>
    </row>
    <row r="2" spans="1:8">
      <c r="A2" s="875" t="s">
        <v>112</v>
      </c>
      <c r="B2" s="6" t="s">
        <v>420</v>
      </c>
      <c r="C2" s="7"/>
      <c r="D2" s="150"/>
      <c r="E2" s="9"/>
      <c r="F2" s="9"/>
      <c r="G2" s="9"/>
      <c r="H2" s="10"/>
    </row>
    <row r="3" spans="1:8">
      <c r="A3" s="876"/>
      <c r="B3" s="11" t="s">
        <v>471</v>
      </c>
      <c r="C3" s="856" t="s">
        <v>1126</v>
      </c>
      <c r="D3" s="857"/>
      <c r="E3" s="14"/>
      <c r="F3" s="14"/>
      <c r="G3" s="14"/>
      <c r="H3" s="15"/>
    </row>
    <row r="4" spans="1:8">
      <c r="A4" s="876"/>
      <c r="B4" s="11" t="s">
        <v>407</v>
      </c>
      <c r="C4" s="856" t="s">
        <v>9</v>
      </c>
      <c r="D4" s="857"/>
      <c r="E4" s="14"/>
      <c r="F4" s="14"/>
      <c r="G4" s="14"/>
      <c r="H4" s="15"/>
    </row>
    <row r="5" spans="1:8">
      <c r="A5" s="827"/>
      <c r="B5" s="16" t="s">
        <v>99</v>
      </c>
      <c r="C5" s="17">
        <v>119923</v>
      </c>
      <c r="D5" s="858" t="s">
        <v>250</v>
      </c>
      <c r="E5" s="859"/>
      <c r="F5" s="250">
        <f>C5*0.3025/C7</f>
        <v>40.262716426193116</v>
      </c>
      <c r="G5" s="916" t="s">
        <v>524</v>
      </c>
      <c r="H5" s="917"/>
    </row>
    <row r="6" spans="1:8">
      <c r="A6" s="827"/>
      <c r="B6" s="16" t="s">
        <v>425</v>
      </c>
      <c r="C6" s="17">
        <v>12</v>
      </c>
      <c r="D6" s="18"/>
      <c r="E6" s="19"/>
      <c r="F6" s="19"/>
      <c r="G6" s="19"/>
      <c r="H6" s="20"/>
    </row>
    <row r="7" spans="1:8">
      <c r="A7" s="827"/>
      <c r="B7" s="16" t="s">
        <v>121</v>
      </c>
      <c r="C7" s="17">
        <v>901</v>
      </c>
      <c r="D7" s="21" t="s">
        <v>39</v>
      </c>
      <c r="E7" s="22">
        <f>C7/C9</f>
        <v>0.3105825577387108</v>
      </c>
      <c r="F7" s="18"/>
      <c r="G7" s="19"/>
      <c r="H7" s="20"/>
    </row>
    <row r="8" spans="1:8">
      <c r="A8" s="827"/>
      <c r="B8" s="16" t="s">
        <v>54</v>
      </c>
      <c r="C8" s="249">
        <f>C9-C7</f>
        <v>2000</v>
      </c>
      <c r="D8" s="21" t="s">
        <v>145</v>
      </c>
      <c r="E8" s="251">
        <f>C8/C9</f>
        <v>0.6894174422612892</v>
      </c>
      <c r="F8" s="863" t="s">
        <v>29</v>
      </c>
      <c r="G8" s="864"/>
      <c r="H8" s="865"/>
    </row>
    <row r="9" spans="1:8">
      <c r="A9" s="827"/>
      <c r="B9" s="16" t="s">
        <v>125</v>
      </c>
      <c r="C9" s="17">
        <v>2901</v>
      </c>
      <c r="D9" s="23"/>
      <c r="E9" s="19"/>
      <c r="F9" s="19"/>
      <c r="G9" s="19"/>
      <c r="H9" s="20"/>
    </row>
    <row r="10" spans="1:8">
      <c r="A10" s="827"/>
      <c r="B10" s="16" t="s">
        <v>427</v>
      </c>
      <c r="C10" s="24">
        <v>0.19170000000000001</v>
      </c>
      <c r="D10" s="25" t="s">
        <v>84</v>
      </c>
      <c r="E10" s="26">
        <f>C5*C10</f>
        <v>22989.239100000003</v>
      </c>
      <c r="F10" s="27" t="s">
        <v>41</v>
      </c>
      <c r="G10" s="28">
        <f>E11/E10</f>
        <v>19.94105372978612</v>
      </c>
      <c r="H10" s="29"/>
    </row>
    <row r="11" spans="1:8">
      <c r="A11" s="827"/>
      <c r="B11" s="16" t="s">
        <v>466</v>
      </c>
      <c r="C11" s="24">
        <v>3.8226999999999998</v>
      </c>
      <c r="D11" s="25" t="s">
        <v>91</v>
      </c>
      <c r="E11" s="30">
        <f>C5*C11</f>
        <v>458429.65209999995</v>
      </c>
      <c r="F11" s="27" t="s">
        <v>209</v>
      </c>
      <c r="G11" s="28">
        <f>E11*76%</f>
        <v>348406.53559599997</v>
      </c>
      <c r="H11" s="31"/>
    </row>
    <row r="12" spans="1:8">
      <c r="A12" s="827"/>
      <c r="B12" s="16" t="s">
        <v>208</v>
      </c>
      <c r="C12" s="152" t="s">
        <v>350</v>
      </c>
      <c r="D12" s="18"/>
      <c r="E12" s="19"/>
      <c r="F12" s="858" t="s">
        <v>234</v>
      </c>
      <c r="G12" s="859"/>
      <c r="H12" s="55">
        <f>G11/C38</f>
        <v>1.6735972770064729</v>
      </c>
    </row>
    <row r="13" spans="1:8">
      <c r="A13" s="827"/>
      <c r="B13" s="16" t="s">
        <v>441</v>
      </c>
      <c r="C13" s="165" t="s">
        <v>1147</v>
      </c>
      <c r="D13" s="18"/>
      <c r="E13" s="19"/>
      <c r="F13" s="863" t="s">
        <v>392</v>
      </c>
      <c r="G13" s="864"/>
      <c r="H13" s="865"/>
    </row>
    <row r="14" spans="1:8">
      <c r="A14" s="827"/>
      <c r="B14" s="32" t="s">
        <v>467</v>
      </c>
      <c r="C14" s="166"/>
      <c r="D14" s="34"/>
      <c r="E14" s="19"/>
      <c r="F14" s="19"/>
      <c r="G14" s="19"/>
      <c r="H14" s="20"/>
    </row>
    <row r="15" spans="1:8">
      <c r="A15" s="828"/>
      <c r="B15" s="35"/>
      <c r="C15" s="35"/>
      <c r="D15" s="36"/>
      <c r="E15" s="37"/>
      <c r="F15" s="37"/>
      <c r="G15" s="37"/>
      <c r="H15" s="38"/>
    </row>
    <row r="16" spans="1:8" ht="5.25" customHeight="1">
      <c r="A16" s="39"/>
      <c r="B16" s="40"/>
      <c r="C16" s="41"/>
      <c r="D16" s="41"/>
      <c r="H16" s="42"/>
    </row>
    <row r="17" spans="1:8">
      <c r="A17" s="875" t="s">
        <v>49</v>
      </c>
      <c r="B17" s="43" t="s">
        <v>81</v>
      </c>
      <c r="C17" s="44" t="s">
        <v>377</v>
      </c>
      <c r="D17" s="45"/>
      <c r="E17" s="9"/>
      <c r="F17" s="9"/>
      <c r="G17" s="9"/>
      <c r="H17" s="10"/>
    </row>
    <row r="18" spans="1:8">
      <c r="A18" s="827"/>
      <c r="B18" s="25" t="s">
        <v>147</v>
      </c>
      <c r="C18" s="46" t="s">
        <v>304</v>
      </c>
      <c r="D18" s="47"/>
      <c r="E18" s="19"/>
      <c r="F18" s="19"/>
      <c r="G18" s="19"/>
      <c r="H18" s="20"/>
    </row>
    <row r="19" spans="1:8">
      <c r="A19" s="875"/>
      <c r="B19" s="25" t="s">
        <v>52</v>
      </c>
      <c r="C19" s="46" t="s">
        <v>545</v>
      </c>
      <c r="D19" s="47"/>
      <c r="E19" s="19"/>
      <c r="F19" s="19"/>
      <c r="G19" s="19"/>
      <c r="H19" s="20"/>
    </row>
    <row r="20" spans="1:8">
      <c r="A20" s="876"/>
      <c r="B20" s="25" t="s">
        <v>1148</v>
      </c>
      <c r="C20" s="46" t="s">
        <v>1149</v>
      </c>
      <c r="D20" s="47"/>
      <c r="E20" s="19"/>
      <c r="F20" s="19"/>
      <c r="G20" s="19"/>
      <c r="H20" s="20"/>
    </row>
    <row r="21" spans="1:8">
      <c r="A21" s="827"/>
      <c r="B21" s="25" t="s">
        <v>98</v>
      </c>
      <c r="C21" s="46" t="s">
        <v>1150</v>
      </c>
      <c r="D21" s="47"/>
      <c r="E21" s="19"/>
      <c r="F21" s="19"/>
      <c r="G21" s="19"/>
      <c r="H21" s="20"/>
    </row>
    <row r="22" spans="1:8">
      <c r="A22" s="827"/>
      <c r="B22" s="25" t="s">
        <v>73</v>
      </c>
      <c r="C22" s="25" t="s">
        <v>1151</v>
      </c>
      <c r="D22" s="23"/>
      <c r="E22" s="19"/>
      <c r="F22" s="19"/>
      <c r="G22" s="19"/>
      <c r="H22" s="20"/>
    </row>
    <row r="23" spans="1:8">
      <c r="A23" s="827"/>
      <c r="B23" s="25" t="s">
        <v>452</v>
      </c>
      <c r="C23" s="25" t="s">
        <v>1152</v>
      </c>
      <c r="D23" s="23"/>
      <c r="E23" s="19"/>
      <c r="F23" s="19"/>
      <c r="G23" s="19"/>
      <c r="H23" s="20"/>
    </row>
    <row r="24" spans="1:8">
      <c r="A24" s="827"/>
      <c r="B24" s="25" t="s">
        <v>445</v>
      </c>
      <c r="C24" s="25" t="s">
        <v>1153</v>
      </c>
      <c r="D24" s="23"/>
      <c r="E24" s="19"/>
      <c r="F24" s="19"/>
      <c r="G24" s="19"/>
      <c r="H24" s="20"/>
    </row>
    <row r="25" spans="1:8">
      <c r="A25" s="827"/>
      <c r="B25" s="25" t="s">
        <v>167</v>
      </c>
      <c r="C25" s="25" t="s">
        <v>1154</v>
      </c>
      <c r="D25" s="23"/>
      <c r="E25" s="19"/>
      <c r="F25" s="19"/>
      <c r="G25" s="19"/>
      <c r="H25" s="20"/>
    </row>
    <row r="26" spans="1:8">
      <c r="A26" s="828"/>
      <c r="B26" s="35" t="s">
        <v>447</v>
      </c>
      <c r="C26" s="35" t="s">
        <v>1155</v>
      </c>
      <c r="D26" s="48"/>
      <c r="E26" s="37"/>
      <c r="F26" s="37"/>
      <c r="G26" s="37"/>
      <c r="H26" s="38"/>
    </row>
    <row r="27" spans="1:8" ht="5.25" customHeight="1">
      <c r="A27" s="39"/>
      <c r="B27" s="40"/>
      <c r="H27" s="42"/>
    </row>
    <row r="28" spans="1:8" s="5" customFormat="1" ht="13.5" customHeight="1">
      <c r="A28" s="875" t="s">
        <v>160</v>
      </c>
      <c r="B28" s="241" t="s">
        <v>101</v>
      </c>
      <c r="C28" s="242" t="s">
        <v>48</v>
      </c>
      <c r="D28" s="243" t="s">
        <v>125</v>
      </c>
      <c r="E28" s="243" t="s">
        <v>434</v>
      </c>
      <c r="F28" s="243" t="s">
        <v>414</v>
      </c>
      <c r="G28" s="369" t="s">
        <v>454</v>
      </c>
      <c r="H28" s="244" t="s">
        <v>470</v>
      </c>
    </row>
    <row r="29" spans="1:8">
      <c r="A29" s="827"/>
      <c r="B29" s="129" t="s">
        <v>200</v>
      </c>
      <c r="C29" s="53">
        <f>39.75*D29</f>
        <v>6996</v>
      </c>
      <c r="D29" s="17">
        <v>176</v>
      </c>
      <c r="E29" s="17"/>
      <c r="F29" s="160"/>
      <c r="G29" s="159">
        <f>D29/$D$38</f>
        <v>6.0668734918993453E-2</v>
      </c>
      <c r="H29" s="55"/>
    </row>
    <row r="30" spans="1:8">
      <c r="A30" s="827"/>
      <c r="B30" s="16" t="s">
        <v>51</v>
      </c>
      <c r="C30" s="53">
        <f>59.98*D30</f>
        <v>55181.599999999999</v>
      </c>
      <c r="D30" s="17">
        <v>920</v>
      </c>
      <c r="E30" s="17"/>
      <c r="F30" s="160"/>
      <c r="G30" s="159">
        <f>D30/$D$38</f>
        <v>0.31713202344019303</v>
      </c>
      <c r="H30" s="55"/>
    </row>
    <row r="31" spans="1:8">
      <c r="A31" s="827"/>
      <c r="B31" s="16" t="s">
        <v>118</v>
      </c>
      <c r="C31" s="53">
        <f>72.35*D31</f>
        <v>56939.45</v>
      </c>
      <c r="D31" s="17">
        <v>787</v>
      </c>
      <c r="E31" s="17"/>
      <c r="F31" s="160"/>
      <c r="G31" s="159">
        <f>D31/$D$38</f>
        <v>0.27128576352981731</v>
      </c>
      <c r="H31" s="55"/>
    </row>
    <row r="32" spans="1:8">
      <c r="A32" s="827"/>
      <c r="B32" s="16" t="s">
        <v>117</v>
      </c>
      <c r="C32" s="53">
        <f>84.99*D32</f>
        <v>71816.55</v>
      </c>
      <c r="D32" s="17">
        <v>845</v>
      </c>
      <c r="E32" s="17"/>
      <c r="F32" s="160"/>
      <c r="G32" s="159">
        <f>D32/$D$38</f>
        <v>0.29127886935539471</v>
      </c>
      <c r="H32" s="55"/>
    </row>
    <row r="33" spans="1:8">
      <c r="A33" s="827"/>
      <c r="B33" s="16" t="s">
        <v>207</v>
      </c>
      <c r="C33" s="53">
        <f>99.68*D33</f>
        <v>17244.64</v>
      </c>
      <c r="D33" s="17">
        <v>173</v>
      </c>
      <c r="E33" s="17"/>
      <c r="F33" s="160"/>
      <c r="G33" s="159">
        <f>D33/$D$38</f>
        <v>5.9634608755601518E-2</v>
      </c>
      <c r="H33" s="55"/>
    </row>
    <row r="34" spans="1:8">
      <c r="A34" s="827"/>
      <c r="B34" s="16"/>
      <c r="C34" s="53"/>
      <c r="D34" s="17"/>
      <c r="E34" s="17"/>
      <c r="F34" s="160"/>
      <c r="G34" s="159"/>
      <c r="H34" s="55"/>
    </row>
    <row r="35" spans="1:8">
      <c r="A35" s="827"/>
      <c r="B35" s="16"/>
      <c r="C35" s="53"/>
      <c r="D35" s="17"/>
      <c r="E35" s="17"/>
      <c r="F35" s="160"/>
      <c r="G35" s="159"/>
      <c r="H35" s="55"/>
    </row>
    <row r="36" spans="1:8">
      <c r="A36" s="827"/>
      <c r="B36" s="16"/>
      <c r="C36" s="53"/>
      <c r="D36" s="17"/>
      <c r="E36" s="54"/>
      <c r="F36" s="160"/>
      <c r="G36" s="159"/>
      <c r="H36" s="55"/>
    </row>
    <row r="37" spans="1:8">
      <c r="A37" s="875"/>
      <c r="B37" s="129"/>
      <c r="C37" s="53"/>
      <c r="D37" s="17"/>
      <c r="E37" s="160"/>
      <c r="F37" s="160"/>
      <c r="G37" s="159"/>
      <c r="H37" s="161"/>
    </row>
    <row r="38" spans="1:8">
      <c r="A38" s="828"/>
      <c r="B38" s="129" t="s">
        <v>462</v>
      </c>
      <c r="C38" s="57">
        <f>SUM(C29:C37)</f>
        <v>208178.24</v>
      </c>
      <c r="D38" s="57">
        <f>SUM(D29:D37)</f>
        <v>2901</v>
      </c>
      <c r="E38" s="57">
        <f>SUM(E30:E37)</f>
        <v>0</v>
      </c>
      <c r="F38" s="57">
        <f>SUM(F30:F37)</f>
        <v>0</v>
      </c>
      <c r="G38" s="135">
        <f>SUM(G29:G37)</f>
        <v>1</v>
      </c>
      <c r="H38" s="60"/>
    </row>
    <row r="39" spans="1:8" ht="4.5" customHeight="1">
      <c r="A39" s="39"/>
      <c r="B39" s="40"/>
      <c r="H39" s="42"/>
    </row>
    <row r="40" spans="1:8" s="2" customFormat="1">
      <c r="A40" s="879" t="s">
        <v>393</v>
      </c>
      <c r="B40" s="241" t="s">
        <v>360</v>
      </c>
      <c r="C40" s="243" t="s">
        <v>904</v>
      </c>
      <c r="D40" s="243" t="s">
        <v>905</v>
      </c>
      <c r="E40" s="243" t="s">
        <v>911</v>
      </c>
      <c r="F40" s="243" t="s">
        <v>906</v>
      </c>
      <c r="G40" s="245" t="s">
        <v>172</v>
      </c>
      <c r="H40" s="246" t="s">
        <v>470</v>
      </c>
    </row>
    <row r="41" spans="1:8" ht="16.5" customHeight="1">
      <c r="A41" s="880"/>
      <c r="B41" s="129" t="s">
        <v>200</v>
      </c>
      <c r="C41" s="62"/>
      <c r="D41" s="63"/>
      <c r="E41" s="252"/>
      <c r="F41" s="63"/>
      <c r="G41" s="252"/>
      <c r="H41" s="31"/>
    </row>
    <row r="42" spans="1:8" ht="16.5" customHeight="1">
      <c r="A42" s="880"/>
      <c r="B42" s="16" t="s">
        <v>51</v>
      </c>
      <c r="C42" s="62"/>
      <c r="D42" s="63"/>
      <c r="E42" s="252">
        <f>(D42-C42)*25</f>
        <v>0</v>
      </c>
      <c r="F42" s="63"/>
      <c r="G42" s="252">
        <f>(F42-C42)*25</f>
        <v>0</v>
      </c>
      <c r="H42" s="31"/>
    </row>
    <row r="43" spans="1:8" ht="16.5" customHeight="1">
      <c r="A43" s="880"/>
      <c r="B43" s="16" t="s">
        <v>118</v>
      </c>
      <c r="C43" s="62"/>
      <c r="D43" s="63"/>
      <c r="E43" s="252">
        <f>(D43-C43)*30</f>
        <v>0</v>
      </c>
      <c r="F43" s="63"/>
      <c r="G43" s="252">
        <f>(F43-C43)*30</f>
        <v>0</v>
      </c>
      <c r="H43" s="31"/>
    </row>
    <row r="44" spans="1:8" ht="16.5" customHeight="1">
      <c r="A44" s="880"/>
      <c r="B44" s="16" t="s">
        <v>117</v>
      </c>
      <c r="C44" s="724">
        <f>F44*70%</f>
        <v>24087000</v>
      </c>
      <c r="D44" s="63">
        <f>F44-2000000</f>
        <v>32410000</v>
      </c>
      <c r="E44" s="252">
        <f>(D44-C44)*34</f>
        <v>282982000</v>
      </c>
      <c r="F44" s="723">
        <v>34410000</v>
      </c>
      <c r="G44" s="252">
        <f>(F44-C44)*34</f>
        <v>350982000</v>
      </c>
      <c r="H44" s="31" t="s">
        <v>94</v>
      </c>
    </row>
    <row r="45" spans="1:8" ht="16.5" customHeight="1">
      <c r="A45" s="880"/>
      <c r="B45" s="16" t="s">
        <v>207</v>
      </c>
      <c r="C45" s="62"/>
      <c r="D45" s="63"/>
      <c r="E45" s="252">
        <f>(D45-C45)*39</f>
        <v>0</v>
      </c>
      <c r="F45" s="63"/>
      <c r="G45" s="252">
        <f>(F45-C45)*39</f>
        <v>0</v>
      </c>
      <c r="H45" s="31"/>
    </row>
    <row r="46" spans="1:8" ht="16.5" customHeight="1">
      <c r="A46" s="880"/>
      <c r="B46" s="16"/>
      <c r="C46" s="62"/>
      <c r="D46" s="63"/>
      <c r="E46" s="252"/>
      <c r="F46" s="63"/>
      <c r="G46" s="252"/>
      <c r="H46" s="31"/>
    </row>
    <row r="47" spans="1:8" ht="16.5" customHeight="1">
      <c r="A47" s="880"/>
      <c r="B47" s="16"/>
      <c r="C47" s="62"/>
      <c r="D47" s="63"/>
      <c r="E47" s="252"/>
      <c r="F47" s="63"/>
      <c r="G47" s="252"/>
      <c r="H47" s="31"/>
    </row>
    <row r="48" spans="1:8" ht="16.5" customHeight="1">
      <c r="A48" s="879"/>
      <c r="B48" s="129"/>
      <c r="C48" s="162"/>
      <c r="D48" s="174"/>
      <c r="E48" s="377"/>
      <c r="F48" s="174"/>
      <c r="G48" s="377"/>
      <c r="H48" s="163"/>
    </row>
    <row r="49" spans="1:12" ht="16.5" customHeight="1">
      <c r="A49" s="880" t="s">
        <v>393</v>
      </c>
      <c r="B49" s="175"/>
      <c r="C49" s="64"/>
      <c r="D49" s="65"/>
      <c r="E49" s="366"/>
      <c r="F49" s="65"/>
      <c r="G49" s="366"/>
      <c r="H49" s="66"/>
    </row>
    <row r="50" spans="1:12" ht="4.5" customHeight="1" thickBot="1"/>
    <row r="51" spans="1:12" ht="58">
      <c r="A51" s="833" t="s">
        <v>257</v>
      </c>
      <c r="B51" s="243" t="s">
        <v>101</v>
      </c>
      <c r="C51" s="508" t="s">
        <v>1395</v>
      </c>
      <c r="D51" s="247" t="s">
        <v>247</v>
      </c>
      <c r="E51" s="247" t="s">
        <v>322</v>
      </c>
      <c r="F51" s="247" t="s">
        <v>222</v>
      </c>
      <c r="G51" s="247" t="s">
        <v>367</v>
      </c>
      <c r="H51" s="243" t="s">
        <v>1136</v>
      </c>
      <c r="I51" s="824" t="s">
        <v>1206</v>
      </c>
    </row>
    <row r="52" spans="1:12">
      <c r="A52" s="878"/>
      <c r="B52" s="213" t="s">
        <v>200</v>
      </c>
      <c r="C52" s="169"/>
      <c r="D52" s="62"/>
      <c r="E52" s="252"/>
      <c r="F52" s="63"/>
      <c r="G52" s="252"/>
      <c r="H52" s="54"/>
      <c r="I52" s="825"/>
    </row>
    <row r="53" spans="1:12">
      <c r="A53" s="834"/>
      <c r="B53" s="25" t="s">
        <v>51</v>
      </c>
      <c r="C53" s="169" t="s">
        <v>436</v>
      </c>
      <c r="D53" s="62">
        <f>E42</f>
        <v>0</v>
      </c>
      <c r="E53" s="252" t="e">
        <f>D53-C53</f>
        <v>#VALUE!</v>
      </c>
      <c r="F53" s="63">
        <f>G42</f>
        <v>0</v>
      </c>
      <c r="G53" s="252" t="e">
        <f>F53-C53</f>
        <v>#VALUE!</v>
      </c>
      <c r="H53" s="54"/>
      <c r="I53" s="825"/>
    </row>
    <row r="54" spans="1:12">
      <c r="A54" s="834"/>
      <c r="B54" s="25" t="s">
        <v>118</v>
      </c>
      <c r="C54" s="169" t="s">
        <v>436</v>
      </c>
      <c r="D54" s="62">
        <f>E43</f>
        <v>0</v>
      </c>
      <c r="E54" s="252" t="e">
        <f>D54-C54</f>
        <v>#VALUE!</v>
      </c>
      <c r="F54" s="63">
        <f>G43</f>
        <v>0</v>
      </c>
      <c r="G54" s="252" t="e">
        <f>F54-C54</f>
        <v>#VALUE!</v>
      </c>
      <c r="H54" s="54"/>
      <c r="I54" s="825"/>
    </row>
    <row r="55" spans="1:12" ht="17">
      <c r="A55" s="834"/>
      <c r="B55" s="25" t="s">
        <v>117</v>
      </c>
      <c r="C55" s="169">
        <v>770000000</v>
      </c>
      <c r="D55" s="62">
        <f>E44</f>
        <v>282982000</v>
      </c>
      <c r="E55" s="252">
        <f>D55-C55</f>
        <v>-487018000</v>
      </c>
      <c r="F55" s="63">
        <f>G44</f>
        <v>350982000</v>
      </c>
      <c r="G55" s="252">
        <f>F55-C55</f>
        <v>-419018000</v>
      </c>
      <c r="H55" s="62">
        <f>(C55+(C44*34))/34</f>
        <v>46734058.823529415</v>
      </c>
      <c r="I55" s="751">
        <f>H55/F44</f>
        <v>1.3581534095765595</v>
      </c>
    </row>
    <row r="56" spans="1:12">
      <c r="A56" s="834"/>
      <c r="B56" s="25" t="s">
        <v>207</v>
      </c>
      <c r="C56" s="169" t="s">
        <v>436</v>
      </c>
      <c r="D56" s="62">
        <f>E45</f>
        <v>0</v>
      </c>
      <c r="E56" s="252" t="e">
        <f>D56-C56</f>
        <v>#VALUE!</v>
      </c>
      <c r="F56" s="63">
        <f>G45</f>
        <v>0</v>
      </c>
      <c r="G56" s="252" t="e">
        <f>F56-C56</f>
        <v>#VALUE!</v>
      </c>
      <c r="H56" s="54"/>
      <c r="I56" s="31"/>
    </row>
    <row r="57" spans="1:12">
      <c r="A57" s="834"/>
      <c r="B57" s="25"/>
      <c r="C57" s="169"/>
      <c r="D57" s="62"/>
      <c r="E57" s="252"/>
      <c r="F57" s="63"/>
      <c r="G57" s="252"/>
      <c r="H57" s="54"/>
      <c r="I57" s="31"/>
    </row>
    <row r="58" spans="1:12">
      <c r="A58" s="834"/>
      <c r="B58" s="25"/>
      <c r="C58" s="169"/>
      <c r="D58" s="62"/>
      <c r="E58" s="252"/>
      <c r="F58" s="63"/>
      <c r="G58" s="252"/>
      <c r="H58" s="54"/>
      <c r="I58" s="31"/>
    </row>
    <row r="59" spans="1:12" ht="16.5" thickBot="1">
      <c r="A59" s="836"/>
      <c r="B59" s="716"/>
      <c r="C59" s="172"/>
      <c r="D59" s="64"/>
      <c r="E59" s="366"/>
      <c r="F59" s="65"/>
      <c r="G59" s="366"/>
      <c r="H59" s="619"/>
      <c r="I59" s="66"/>
    </row>
    <row r="60" spans="1:12">
      <c r="A60" s="929" t="s">
        <v>598</v>
      </c>
      <c r="B60" s="741" t="s">
        <v>599</v>
      </c>
      <c r="C60" s="738" t="s">
        <v>660</v>
      </c>
      <c r="D60" s="930" t="s">
        <v>600</v>
      </c>
      <c r="E60" s="931"/>
      <c r="F60" s="931"/>
      <c r="G60" s="931"/>
      <c r="H60" s="932"/>
      <c r="J60" s="5"/>
      <c r="K60" s="5"/>
      <c r="L60" s="5"/>
    </row>
    <row r="61" spans="1:12" ht="17">
      <c r="A61" s="834"/>
      <c r="B61" s="488" t="s">
        <v>1100</v>
      </c>
      <c r="C61" s="708">
        <v>2000</v>
      </c>
      <c r="D61" s="491"/>
      <c r="H61" s="42"/>
      <c r="J61" s="509"/>
      <c r="K61" s="509"/>
      <c r="L61" s="509"/>
    </row>
    <row r="62" spans="1:12" ht="17">
      <c r="A62" s="834"/>
      <c r="B62" s="165" t="s">
        <v>1105</v>
      </c>
      <c r="C62" s="708">
        <v>2300</v>
      </c>
      <c r="D62" s="491"/>
      <c r="H62" s="42"/>
      <c r="J62" s="509"/>
      <c r="K62" s="509"/>
      <c r="L62" s="509"/>
    </row>
    <row r="63" spans="1:12" ht="17">
      <c r="A63" s="834"/>
      <c r="B63" s="165" t="s">
        <v>602</v>
      </c>
      <c r="C63" s="708">
        <v>2300</v>
      </c>
      <c r="D63" s="492"/>
      <c r="H63" s="42"/>
      <c r="J63" s="509"/>
      <c r="K63" s="509"/>
      <c r="L63" s="509"/>
    </row>
    <row r="64" spans="1:12">
      <c r="A64" s="834"/>
      <c r="B64" s="165" t="s">
        <v>603</v>
      </c>
      <c r="C64" s="626">
        <v>2500</v>
      </c>
      <c r="D64" s="492"/>
      <c r="H64" s="42"/>
    </row>
    <row r="65" spans="1:8">
      <c r="A65" s="835"/>
      <c r="B65" s="165" t="s">
        <v>604</v>
      </c>
      <c r="C65" s="627">
        <v>4673</v>
      </c>
      <c r="D65" s="492"/>
      <c r="H65" s="42"/>
    </row>
    <row r="66" spans="1:8">
      <c r="A66" s="835"/>
      <c r="B66" s="165" t="s">
        <v>1458</v>
      </c>
      <c r="C66" s="627">
        <f>H55/10000</f>
        <v>4673.4058823529413</v>
      </c>
      <c r="D66" s="492"/>
      <c r="H66" s="42"/>
    </row>
    <row r="67" spans="1:8">
      <c r="A67" s="835"/>
      <c r="B67" s="165" t="s">
        <v>1462</v>
      </c>
      <c r="C67" s="627"/>
      <c r="D67" s="492"/>
      <c r="H67" s="42"/>
    </row>
    <row r="68" spans="1:8">
      <c r="A68" s="835"/>
      <c r="B68" s="165" t="s">
        <v>1463</v>
      </c>
      <c r="C68" s="627"/>
      <c r="D68" s="492"/>
      <c r="H68" s="42"/>
    </row>
    <row r="69" spans="1:8">
      <c r="A69" s="835"/>
      <c r="B69" s="165" t="s">
        <v>1464</v>
      </c>
      <c r="C69" s="627"/>
      <c r="D69" s="492"/>
      <c r="H69" s="42"/>
    </row>
    <row r="70" spans="1:8">
      <c r="A70" s="835"/>
      <c r="B70" s="165" t="s">
        <v>1465</v>
      </c>
      <c r="C70" s="627"/>
      <c r="D70" s="492"/>
      <c r="H70" s="42"/>
    </row>
    <row r="71" spans="1:8" ht="16.5" thickBot="1">
      <c r="A71" s="836"/>
      <c r="B71" s="157" t="s">
        <v>1104</v>
      </c>
      <c r="C71" s="628"/>
      <c r="D71" s="631"/>
      <c r="E71" s="486"/>
      <c r="F71" s="486"/>
      <c r="G71" s="486"/>
      <c r="H71" s="487"/>
    </row>
    <row r="72" spans="1:8">
      <c r="A72" s="827" t="s">
        <v>650</v>
      </c>
      <c r="B72" s="206" t="s">
        <v>1159</v>
      </c>
      <c r="C72" s="78"/>
      <c r="D72" s="79"/>
      <c r="E72" s="76"/>
      <c r="F72" s="76"/>
      <c r="G72" s="76"/>
      <c r="H72" s="114"/>
    </row>
    <row r="73" spans="1:8">
      <c r="A73" s="827"/>
      <c r="B73" s="206" t="s">
        <v>1160</v>
      </c>
      <c r="C73" s="78"/>
      <c r="D73" s="79"/>
      <c r="E73" s="76"/>
      <c r="F73" s="76"/>
      <c r="G73" s="76"/>
      <c r="H73" s="114"/>
    </row>
    <row r="74" spans="1:8">
      <c r="A74" s="827"/>
      <c r="B74" s="206" t="s">
        <v>1161</v>
      </c>
      <c r="C74" s="78"/>
      <c r="D74" s="79"/>
      <c r="E74" s="76"/>
      <c r="F74" s="76"/>
      <c r="G74" s="76"/>
      <c r="H74" s="114"/>
    </row>
    <row r="75" spans="1:8">
      <c r="A75" s="827"/>
      <c r="B75" s="206" t="s">
        <v>1162</v>
      </c>
      <c r="C75" s="78"/>
      <c r="D75" s="79"/>
      <c r="E75" s="76"/>
      <c r="F75" s="76"/>
      <c r="G75" s="76"/>
      <c r="H75" s="114"/>
    </row>
    <row r="76" spans="1:8">
      <c r="A76" s="827"/>
      <c r="B76" s="206" t="s">
        <v>1163</v>
      </c>
      <c r="C76" s="78"/>
      <c r="D76" s="79"/>
      <c r="E76" s="76"/>
      <c r="F76" s="76"/>
      <c r="G76" s="76"/>
      <c r="H76" s="114"/>
    </row>
    <row r="77" spans="1:8">
      <c r="A77" s="827"/>
      <c r="B77" s="206" t="s">
        <v>1164</v>
      </c>
      <c r="C77" s="78"/>
      <c r="D77" s="79"/>
      <c r="E77" s="76"/>
      <c r="F77" s="76"/>
      <c r="G77" s="76"/>
      <c r="H77" s="114"/>
    </row>
    <row r="78" spans="1:8" ht="16.5" thickBot="1">
      <c r="A78" s="828"/>
      <c r="B78" s="568"/>
      <c r="C78" s="569"/>
      <c r="D78" s="570"/>
      <c r="E78" s="571"/>
      <c r="F78" s="571"/>
      <c r="G78" s="571"/>
      <c r="H78" s="572"/>
    </row>
  </sheetData>
  <mergeCells count="17">
    <mergeCell ref="A17:A26"/>
    <mergeCell ref="A28:A38"/>
    <mergeCell ref="A40:A49"/>
    <mergeCell ref="C3:D3"/>
    <mergeCell ref="F12:G12"/>
    <mergeCell ref="F13:H13"/>
    <mergeCell ref="F8:H8"/>
    <mergeCell ref="A1:H1"/>
    <mergeCell ref="A2:A15"/>
    <mergeCell ref="C4:D4"/>
    <mergeCell ref="D5:E5"/>
    <mergeCell ref="G5:H5"/>
    <mergeCell ref="I51:I54"/>
    <mergeCell ref="A60:A71"/>
    <mergeCell ref="D60:H60"/>
    <mergeCell ref="A72:A78"/>
    <mergeCell ref="A51:A59"/>
  </mergeCells>
  <phoneticPr fontId="16" type="noConversion"/>
  <pageMargins left="0.69972223043441772" right="0.69972223043441772" top="0.75" bottom="0.75" header="0.30000001192092896" footer="0.30000001192092896"/>
  <pageSetup paperSize="9" scale="60" orientation="portrait" horizontalDpi="4294967293" verticalDpi="4294967293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0000CC"/>
  </sheetPr>
  <dimension ref="A1:L81"/>
  <sheetViews>
    <sheetView showGridLines="0" topLeftCell="A49" zoomScale="85" zoomScaleNormal="85" zoomScaleSheetLayoutView="100" zoomScalePageLayoutView="70" workbookViewId="0">
      <selection activeCell="J63" sqref="J63"/>
    </sheetView>
  </sheetViews>
  <sheetFormatPr defaultColWidth="13.4140625" defaultRowHeight="16"/>
  <cols>
    <col min="1" max="1" width="4.9140625" style="1" customWidth="1"/>
    <col min="2" max="2" width="17.6640625" style="2" bestFit="1" customWidth="1"/>
    <col min="3" max="3" width="25" style="3" customWidth="1"/>
    <col min="4" max="4" width="17.9140625" style="4" bestFit="1" customWidth="1"/>
    <col min="5" max="5" width="13.08203125" style="1" customWidth="1"/>
    <col min="6" max="6" width="15.5" style="1" bestFit="1" customWidth="1"/>
    <col min="7" max="7" width="14" style="1" bestFit="1" customWidth="1"/>
    <col min="8" max="8" width="14.1640625" style="1" bestFit="1" customWidth="1"/>
    <col min="9" max="9" width="26.33203125" style="1" bestFit="1" customWidth="1"/>
    <col min="10" max="16384" width="13.4140625" style="1"/>
  </cols>
  <sheetData>
    <row r="1" spans="1:8" ht="30.75" customHeight="1">
      <c r="A1" s="913" t="s">
        <v>220</v>
      </c>
      <c r="B1" s="914"/>
      <c r="C1" s="914"/>
      <c r="D1" s="914"/>
      <c r="E1" s="914"/>
      <c r="F1" s="914"/>
      <c r="G1" s="914"/>
      <c r="H1" s="915"/>
    </row>
    <row r="2" spans="1:8">
      <c r="A2" s="875" t="s">
        <v>112</v>
      </c>
      <c r="B2" s="6" t="s">
        <v>420</v>
      </c>
      <c r="C2" s="7"/>
      <c r="D2" s="150"/>
      <c r="E2" s="9"/>
      <c r="F2" s="9"/>
      <c r="G2" s="9"/>
      <c r="H2" s="10"/>
    </row>
    <row r="3" spans="1:8">
      <c r="A3" s="876"/>
      <c r="B3" s="11" t="s">
        <v>471</v>
      </c>
      <c r="C3" s="856" t="s">
        <v>1125</v>
      </c>
      <c r="D3" s="857"/>
      <c r="E3" s="14"/>
      <c r="F3" s="14"/>
      <c r="G3" s="14"/>
      <c r="H3" s="15"/>
    </row>
    <row r="4" spans="1:8">
      <c r="A4" s="876"/>
      <c r="B4" s="11" t="s">
        <v>407</v>
      </c>
      <c r="C4" s="856" t="s">
        <v>1124</v>
      </c>
      <c r="D4" s="857"/>
      <c r="E4" s="14"/>
      <c r="F4" s="14"/>
      <c r="G4" s="14"/>
      <c r="H4" s="15"/>
    </row>
    <row r="5" spans="1:8">
      <c r="A5" s="827"/>
      <c r="B5" s="16" t="s">
        <v>99</v>
      </c>
      <c r="C5" s="17">
        <v>194097</v>
      </c>
      <c r="D5" s="858" t="s">
        <v>250</v>
      </c>
      <c r="E5" s="859"/>
      <c r="F5" s="250">
        <f>C5*0.3025/C7</f>
        <v>25.145328693790148</v>
      </c>
      <c r="G5" s="916" t="s">
        <v>524</v>
      </c>
      <c r="H5" s="917"/>
    </row>
    <row r="6" spans="1:8">
      <c r="A6" s="827"/>
      <c r="B6" s="16" t="s">
        <v>425</v>
      </c>
      <c r="C6" s="17">
        <v>12</v>
      </c>
      <c r="D6" s="18"/>
      <c r="E6" s="19"/>
      <c r="F6" s="19"/>
      <c r="G6" s="19"/>
      <c r="H6" s="20"/>
    </row>
    <row r="7" spans="1:8">
      <c r="A7" s="827"/>
      <c r="B7" s="16" t="s">
        <v>121</v>
      </c>
      <c r="C7" s="17">
        <v>2335</v>
      </c>
      <c r="D7" s="21" t="s">
        <v>39</v>
      </c>
      <c r="E7" s="22">
        <f>C7/C9</f>
        <v>0.53140646335912611</v>
      </c>
      <c r="F7" s="18"/>
      <c r="G7" s="19"/>
      <c r="H7" s="20"/>
    </row>
    <row r="8" spans="1:8">
      <c r="A8" s="827"/>
      <c r="B8" s="16" t="s">
        <v>54</v>
      </c>
      <c r="C8" s="249">
        <f>C9-C7</f>
        <v>2059</v>
      </c>
      <c r="D8" s="21" t="s">
        <v>145</v>
      </c>
      <c r="E8" s="251">
        <f>C8/C9</f>
        <v>0.46859353664087394</v>
      </c>
      <c r="F8" s="863" t="s">
        <v>29</v>
      </c>
      <c r="G8" s="864"/>
      <c r="H8" s="865"/>
    </row>
    <row r="9" spans="1:8">
      <c r="A9" s="827"/>
      <c r="B9" s="16" t="s">
        <v>125</v>
      </c>
      <c r="C9" s="17">
        <v>4394</v>
      </c>
      <c r="D9" s="23"/>
      <c r="E9" s="19"/>
      <c r="F9" s="19"/>
      <c r="G9" s="19"/>
      <c r="H9" s="20"/>
    </row>
    <row r="10" spans="1:8">
      <c r="A10" s="827"/>
      <c r="B10" s="16" t="s">
        <v>104</v>
      </c>
      <c r="C10" s="24">
        <v>0.19</v>
      </c>
      <c r="D10" s="25" t="s">
        <v>84</v>
      </c>
      <c r="E10" s="26">
        <f>C5*C10</f>
        <v>36878.43</v>
      </c>
      <c r="F10" s="27" t="s">
        <v>41</v>
      </c>
      <c r="G10" s="28">
        <f>E11/E10</f>
        <v>15.731578947368419</v>
      </c>
      <c r="H10" s="29"/>
    </row>
    <row r="11" spans="1:8">
      <c r="A11" s="827"/>
      <c r="B11" s="16" t="s">
        <v>466</v>
      </c>
      <c r="C11" s="24">
        <v>2.9889999999999999</v>
      </c>
      <c r="D11" s="25" t="s">
        <v>91</v>
      </c>
      <c r="E11" s="30">
        <f>C5*C11</f>
        <v>580155.93299999996</v>
      </c>
      <c r="F11" s="27" t="s">
        <v>209</v>
      </c>
      <c r="G11" s="28">
        <f>E11*76%</f>
        <v>440918.50907999999</v>
      </c>
      <c r="H11" s="31"/>
    </row>
    <row r="12" spans="1:8">
      <c r="A12" s="827"/>
      <c r="B12" s="16" t="s">
        <v>208</v>
      </c>
      <c r="C12" s="152" t="s">
        <v>368</v>
      </c>
      <c r="D12" s="18"/>
      <c r="E12" s="19"/>
      <c r="F12" s="858" t="s">
        <v>234</v>
      </c>
      <c r="G12" s="859"/>
      <c r="H12" s="55">
        <f>G11/C38</f>
        <v>1.2897350847331202</v>
      </c>
    </row>
    <row r="13" spans="1:8" ht="15" customHeight="1">
      <c r="A13" s="827"/>
      <c r="B13" s="16" t="s">
        <v>441</v>
      </c>
      <c r="C13" s="804" t="s">
        <v>542</v>
      </c>
      <c r="D13" s="805"/>
      <c r="E13" s="19"/>
      <c r="F13" s="949" t="s">
        <v>543</v>
      </c>
      <c r="G13" s="950"/>
      <c r="H13" s="951"/>
    </row>
    <row r="14" spans="1:8" ht="16.5" thickBot="1">
      <c r="A14" s="827"/>
      <c r="B14" s="32" t="s">
        <v>467</v>
      </c>
      <c r="C14" s="166"/>
      <c r="D14" s="803"/>
      <c r="E14" s="19"/>
      <c r="F14" s="19"/>
      <c r="G14" s="19"/>
      <c r="H14" s="20"/>
    </row>
    <row r="15" spans="1:8" ht="15" customHeight="1" thickBot="1">
      <c r="A15" s="875"/>
      <c r="B15" s="844" t="s">
        <v>470</v>
      </c>
      <c r="C15" s="226" t="s">
        <v>28</v>
      </c>
      <c r="D15" s="154"/>
      <c r="E15" s="155"/>
      <c r="F15" s="155"/>
      <c r="G15" s="155"/>
      <c r="H15" s="156"/>
    </row>
    <row r="16" spans="1:8">
      <c r="A16" s="828"/>
      <c r="B16" s="844"/>
      <c r="C16" s="227" t="s">
        <v>27</v>
      </c>
      <c r="D16" s="36"/>
      <c r="E16" s="37"/>
      <c r="F16" s="37"/>
      <c r="G16" s="37"/>
      <c r="H16" s="38"/>
    </row>
    <row r="17" spans="1:8" ht="5.25" customHeight="1">
      <c r="A17" s="39"/>
      <c r="B17" s="40"/>
      <c r="C17" s="41"/>
      <c r="D17" s="41"/>
      <c r="H17" s="42"/>
    </row>
    <row r="18" spans="1:8">
      <c r="A18" s="875" t="s">
        <v>49</v>
      </c>
      <c r="B18" s="43" t="s">
        <v>81</v>
      </c>
      <c r="C18" s="44" t="s">
        <v>269</v>
      </c>
      <c r="D18" s="45"/>
      <c r="E18" s="9"/>
      <c r="F18" s="9"/>
      <c r="G18" s="9"/>
      <c r="H18" s="10"/>
    </row>
    <row r="19" spans="1:8">
      <c r="A19" s="827"/>
      <c r="B19" s="25" t="s">
        <v>147</v>
      </c>
      <c r="C19" s="46" t="s">
        <v>270</v>
      </c>
      <c r="D19" s="47"/>
      <c r="E19" s="19"/>
      <c r="F19" s="19"/>
      <c r="G19" s="19"/>
      <c r="H19" s="20"/>
    </row>
    <row r="20" spans="1:8">
      <c r="A20" s="875"/>
      <c r="B20" s="25" t="s">
        <v>52</v>
      </c>
      <c r="C20" s="46" t="s">
        <v>479</v>
      </c>
      <c r="D20" s="47"/>
      <c r="E20" s="19"/>
      <c r="F20" s="19"/>
      <c r="G20" s="19"/>
      <c r="H20" s="20"/>
    </row>
    <row r="21" spans="1:8">
      <c r="A21" s="827"/>
      <c r="B21" s="25" t="s">
        <v>98</v>
      </c>
      <c r="C21" s="46" t="s">
        <v>1093</v>
      </c>
      <c r="D21" s="47"/>
      <c r="E21" s="19"/>
      <c r="F21" s="19"/>
      <c r="G21" s="19"/>
      <c r="H21" s="20"/>
    </row>
    <row r="22" spans="1:8">
      <c r="A22" s="827"/>
      <c r="B22" s="25" t="s">
        <v>73</v>
      </c>
      <c r="C22" s="25" t="s">
        <v>1094</v>
      </c>
      <c r="D22" s="23"/>
      <c r="E22" s="19"/>
      <c r="F22" s="19"/>
      <c r="G22" s="19"/>
      <c r="H22" s="20"/>
    </row>
    <row r="23" spans="1:8">
      <c r="A23" s="827"/>
      <c r="B23" s="25" t="s">
        <v>452</v>
      </c>
      <c r="C23" s="25" t="s">
        <v>1095</v>
      </c>
      <c r="D23" s="23"/>
      <c r="E23" s="19"/>
      <c r="F23" s="19"/>
      <c r="G23" s="19"/>
      <c r="H23" s="20"/>
    </row>
    <row r="24" spans="1:8">
      <c r="A24" s="827"/>
      <c r="B24" s="25" t="s">
        <v>445</v>
      </c>
      <c r="C24" s="25" t="s">
        <v>1096</v>
      </c>
      <c r="D24" s="23"/>
      <c r="E24" s="19"/>
      <c r="F24" s="19"/>
      <c r="G24" s="19"/>
      <c r="H24" s="20"/>
    </row>
    <row r="25" spans="1:8">
      <c r="A25" s="827"/>
      <c r="B25" s="25" t="s">
        <v>167</v>
      </c>
      <c r="C25" s="25" t="s">
        <v>1097</v>
      </c>
      <c r="D25" s="23"/>
      <c r="E25" s="19"/>
      <c r="F25" s="19"/>
      <c r="G25" s="19"/>
      <c r="H25" s="20"/>
    </row>
    <row r="26" spans="1:8">
      <c r="A26" s="828"/>
      <c r="B26" s="35" t="s">
        <v>447</v>
      </c>
      <c r="C26" s="35" t="s">
        <v>1098</v>
      </c>
      <c r="D26" s="48"/>
      <c r="E26" s="37"/>
      <c r="F26" s="37"/>
      <c r="G26" s="37"/>
      <c r="H26" s="38"/>
    </row>
    <row r="27" spans="1:8" ht="5.25" customHeight="1">
      <c r="A27" s="39"/>
      <c r="B27" s="40"/>
      <c r="H27" s="42"/>
    </row>
    <row r="28" spans="1:8" s="5" customFormat="1" ht="13.5" customHeight="1">
      <c r="A28" s="875" t="s">
        <v>255</v>
      </c>
      <c r="B28" s="241" t="s">
        <v>101</v>
      </c>
      <c r="C28" s="242" t="s">
        <v>48</v>
      </c>
      <c r="D28" s="243" t="s">
        <v>125</v>
      </c>
      <c r="E28" s="243" t="s">
        <v>434</v>
      </c>
      <c r="F28" s="243" t="s">
        <v>414</v>
      </c>
      <c r="G28" s="369" t="s">
        <v>454</v>
      </c>
      <c r="H28" s="244" t="s">
        <v>470</v>
      </c>
    </row>
    <row r="29" spans="1:8">
      <c r="A29" s="827"/>
      <c r="B29" s="129" t="s">
        <v>200</v>
      </c>
      <c r="C29" s="53">
        <f>39.75*D29</f>
        <v>7711.5</v>
      </c>
      <c r="D29" s="17">
        <v>194</v>
      </c>
      <c r="E29" s="17"/>
      <c r="F29" s="160"/>
      <c r="G29" s="159">
        <f>D29/$D$38</f>
        <v>4.4151115157032315E-2</v>
      </c>
      <c r="H29" s="55"/>
    </row>
    <row r="30" spans="1:8">
      <c r="A30" s="827"/>
      <c r="B30" s="16" t="s">
        <v>51</v>
      </c>
      <c r="C30" s="53">
        <f>59.98*D30</f>
        <v>41986</v>
      </c>
      <c r="D30" s="17">
        <v>700</v>
      </c>
      <c r="E30" s="17"/>
      <c r="F30" s="160"/>
      <c r="G30" s="159">
        <f>D30/$D$38</f>
        <v>0.15930814747382796</v>
      </c>
      <c r="H30" s="55"/>
    </row>
    <row r="31" spans="1:8">
      <c r="A31" s="827"/>
      <c r="B31" s="16" t="s">
        <v>118</v>
      </c>
      <c r="C31" s="53">
        <f>72.35*D31</f>
        <v>72350</v>
      </c>
      <c r="D31" s="17">
        <v>1000</v>
      </c>
      <c r="E31" s="17"/>
      <c r="F31" s="160"/>
      <c r="G31" s="159">
        <f>D31/$D$38</f>
        <v>0.22758306781975421</v>
      </c>
      <c r="H31" s="55"/>
    </row>
    <row r="32" spans="1:8">
      <c r="A32" s="827"/>
      <c r="B32" s="16" t="s">
        <v>117</v>
      </c>
      <c r="C32" s="53">
        <f>84.99*D32</f>
        <v>169980</v>
      </c>
      <c r="D32" s="17">
        <v>2000</v>
      </c>
      <c r="E32" s="17"/>
      <c r="F32" s="160"/>
      <c r="G32" s="159">
        <f>D32/$D$38</f>
        <v>0.45516613563950842</v>
      </c>
      <c r="H32" s="55"/>
    </row>
    <row r="33" spans="1:8">
      <c r="A33" s="827"/>
      <c r="B33" s="16" t="s">
        <v>207</v>
      </c>
      <c r="C33" s="53">
        <f>99.68*D33</f>
        <v>49840</v>
      </c>
      <c r="D33" s="17">
        <v>500</v>
      </c>
      <c r="E33" s="17"/>
      <c r="F33" s="160"/>
      <c r="G33" s="159">
        <f>D33/$D$38</f>
        <v>0.1137915339098771</v>
      </c>
      <c r="H33" s="55"/>
    </row>
    <row r="34" spans="1:8">
      <c r="A34" s="827"/>
      <c r="B34" s="16"/>
      <c r="C34" s="53"/>
      <c r="D34" s="17"/>
      <c r="E34" s="17"/>
      <c r="F34" s="160"/>
      <c r="G34" s="159"/>
      <c r="H34" s="55"/>
    </row>
    <row r="35" spans="1:8">
      <c r="A35" s="827"/>
      <c r="B35" s="16"/>
      <c r="C35" s="53"/>
      <c r="D35" s="17"/>
      <c r="E35" s="17"/>
      <c r="F35" s="160"/>
      <c r="G35" s="159"/>
      <c r="H35" s="55"/>
    </row>
    <row r="36" spans="1:8">
      <c r="A36" s="827"/>
      <c r="B36" s="16"/>
      <c r="C36" s="53"/>
      <c r="D36" s="17"/>
      <c r="E36" s="54"/>
      <c r="F36" s="160"/>
      <c r="G36" s="159"/>
      <c r="H36" s="55"/>
    </row>
    <row r="37" spans="1:8">
      <c r="A37" s="875"/>
      <c r="B37" s="129"/>
      <c r="C37" s="53"/>
      <c r="D37" s="17"/>
      <c r="E37" s="160"/>
      <c r="F37" s="160"/>
      <c r="G37" s="159"/>
      <c r="H37" s="161"/>
    </row>
    <row r="38" spans="1:8">
      <c r="A38" s="828"/>
      <c r="B38" s="129" t="s">
        <v>462</v>
      </c>
      <c r="C38" s="57">
        <f>SUM(C29:C37)</f>
        <v>341867.5</v>
      </c>
      <c r="D38" s="57">
        <f>SUM(D29:D37)</f>
        <v>4394</v>
      </c>
      <c r="E38" s="57">
        <f>SUM(E30:E37)</f>
        <v>0</v>
      </c>
      <c r="F38" s="57">
        <f>SUM(F30:F37)</f>
        <v>0</v>
      </c>
      <c r="G38" s="135">
        <f>SUM(G29:G37)</f>
        <v>0.99999999999999989</v>
      </c>
      <c r="H38" s="60"/>
    </row>
    <row r="39" spans="1:8" ht="4.5" customHeight="1">
      <c r="A39" s="39"/>
      <c r="B39" s="40"/>
      <c r="H39" s="42"/>
    </row>
    <row r="40" spans="1:8" s="2" customFormat="1">
      <c r="A40" s="879" t="s">
        <v>393</v>
      </c>
      <c r="B40" s="241" t="s">
        <v>360</v>
      </c>
      <c r="C40" s="243" t="s">
        <v>839</v>
      </c>
      <c r="D40" s="243" t="s">
        <v>840</v>
      </c>
      <c r="E40" s="243" t="s">
        <v>911</v>
      </c>
      <c r="F40" s="243" t="s">
        <v>903</v>
      </c>
      <c r="G40" s="722" t="s">
        <v>172</v>
      </c>
      <c r="H40" s="246" t="s">
        <v>470</v>
      </c>
    </row>
    <row r="41" spans="1:8" ht="16.5" customHeight="1">
      <c r="A41" s="880"/>
      <c r="B41" s="129" t="s">
        <v>200</v>
      </c>
      <c r="C41" s="62"/>
      <c r="D41" s="63"/>
      <c r="E41" s="252">
        <f>(D41-C41)*25</f>
        <v>0</v>
      </c>
      <c r="F41" s="63"/>
      <c r="G41" s="252">
        <f>(F41-C41)*25</f>
        <v>0</v>
      </c>
      <c r="H41" s="31"/>
    </row>
    <row r="42" spans="1:8" ht="16.5" customHeight="1">
      <c r="A42" s="880"/>
      <c r="B42" s="16" t="s">
        <v>51</v>
      </c>
      <c r="C42" s="62"/>
      <c r="D42" s="63"/>
      <c r="E42" s="252">
        <f>(D42-C42)*25</f>
        <v>0</v>
      </c>
      <c r="F42" s="63"/>
      <c r="G42" s="252">
        <f>(F42-C42)*25</f>
        <v>0</v>
      </c>
      <c r="H42" s="31"/>
    </row>
    <row r="43" spans="1:8" ht="16.5" customHeight="1">
      <c r="A43" s="880"/>
      <c r="B43" s="16" t="s">
        <v>118</v>
      </c>
      <c r="C43" s="62"/>
      <c r="D43" s="63"/>
      <c r="E43" s="252">
        <f>(D43-C43)*25</f>
        <v>0</v>
      </c>
      <c r="F43" s="63"/>
      <c r="G43" s="252">
        <f>(F43-C43)*25</f>
        <v>0</v>
      </c>
      <c r="H43" s="31"/>
    </row>
    <row r="44" spans="1:8" ht="16.5" customHeight="1">
      <c r="A44" s="880"/>
      <c r="B44" s="16" t="s">
        <v>117</v>
      </c>
      <c r="C44" s="724">
        <f>F44*70%</f>
        <v>16260999.999999998</v>
      </c>
      <c r="D44" s="63">
        <f>F44-2000000</f>
        <v>21230000</v>
      </c>
      <c r="E44" s="252">
        <f>(D44-C44)*34</f>
        <v>168946000.00000006</v>
      </c>
      <c r="F44" s="723">
        <v>23230000</v>
      </c>
      <c r="G44" s="252">
        <f>(F44-C44)*34</f>
        <v>236946000.00000006</v>
      </c>
      <c r="H44" s="31" t="s">
        <v>1386</v>
      </c>
    </row>
    <row r="45" spans="1:8" ht="16.5" customHeight="1">
      <c r="A45" s="880"/>
      <c r="B45" s="16" t="s">
        <v>207</v>
      </c>
      <c r="C45" s="62"/>
      <c r="D45" s="63"/>
      <c r="E45" s="252">
        <f>(D45-C45)*34</f>
        <v>0</v>
      </c>
      <c r="F45" s="63"/>
      <c r="G45" s="252">
        <f>(F45-C45)*34</f>
        <v>0</v>
      </c>
      <c r="H45" s="31"/>
    </row>
    <row r="46" spans="1:8" ht="16.5" customHeight="1">
      <c r="A46" s="880"/>
      <c r="B46" s="16"/>
      <c r="C46" s="62"/>
      <c r="D46" s="63"/>
      <c r="E46" s="252">
        <f>(D46-C46)*39</f>
        <v>0</v>
      </c>
      <c r="F46" s="63"/>
      <c r="G46" s="252">
        <f>(F46-C46)*39</f>
        <v>0</v>
      </c>
      <c r="H46" s="31"/>
    </row>
    <row r="47" spans="1:8" ht="16.5" customHeight="1">
      <c r="A47" s="880"/>
      <c r="B47" s="16"/>
      <c r="C47" s="62"/>
      <c r="D47" s="63"/>
      <c r="E47" s="252">
        <f>(D47-C47)*39</f>
        <v>0</v>
      </c>
      <c r="F47" s="63"/>
      <c r="G47" s="252">
        <f>(F47-C47)*39</f>
        <v>0</v>
      </c>
      <c r="H47" s="31"/>
    </row>
    <row r="48" spans="1:8" ht="16.5" customHeight="1">
      <c r="A48" s="879"/>
      <c r="B48" s="129"/>
      <c r="C48" s="162"/>
      <c r="D48" s="174"/>
      <c r="E48" s="377"/>
      <c r="F48" s="174"/>
      <c r="G48" s="377"/>
      <c r="H48" s="163"/>
    </row>
    <row r="49" spans="1:12" ht="16.5" customHeight="1" thickBot="1">
      <c r="A49" s="880" t="s">
        <v>393</v>
      </c>
      <c r="B49" s="742"/>
      <c r="C49" s="162"/>
      <c r="D49" s="174"/>
      <c r="E49" s="377"/>
      <c r="F49" s="174"/>
      <c r="G49" s="377"/>
      <c r="H49" s="163"/>
    </row>
    <row r="50" spans="1:12" ht="58">
      <c r="A50" s="833" t="s">
        <v>257</v>
      </c>
      <c r="B50" s="243" t="s">
        <v>101</v>
      </c>
      <c r="C50" s="508" t="s">
        <v>1395</v>
      </c>
      <c r="D50" s="247" t="s">
        <v>247</v>
      </c>
      <c r="E50" s="247" t="s">
        <v>322</v>
      </c>
      <c r="F50" s="247" t="s">
        <v>222</v>
      </c>
      <c r="G50" s="247" t="s">
        <v>367</v>
      </c>
      <c r="H50" s="243" t="s">
        <v>1136</v>
      </c>
      <c r="I50" s="824" t="s">
        <v>1206</v>
      </c>
    </row>
    <row r="51" spans="1:12">
      <c r="A51" s="878"/>
      <c r="B51" s="213" t="s">
        <v>200</v>
      </c>
      <c r="C51" s="169"/>
      <c r="D51" s="62">
        <f>E41</f>
        <v>0</v>
      </c>
      <c r="E51" s="252">
        <f>D51-C51</f>
        <v>0</v>
      </c>
      <c r="F51" s="63">
        <f>G41</f>
        <v>0</v>
      </c>
      <c r="G51" s="252">
        <f>F51-C51</f>
        <v>0</v>
      </c>
      <c r="H51" s="54"/>
      <c r="I51" s="825"/>
    </row>
    <row r="52" spans="1:12">
      <c r="A52" s="834"/>
      <c r="B52" s="25" t="s">
        <v>51</v>
      </c>
      <c r="C52" s="169" t="s">
        <v>436</v>
      </c>
      <c r="D52" s="62">
        <f t="shared" ref="D52:D55" si="0">E42</f>
        <v>0</v>
      </c>
      <c r="E52" s="252" t="e">
        <f>D52-C52</f>
        <v>#VALUE!</v>
      </c>
      <c r="F52" s="63">
        <f t="shared" ref="F52:F55" si="1">G42</f>
        <v>0</v>
      </c>
      <c r="G52" s="252" t="e">
        <f>F52-C52</f>
        <v>#VALUE!</v>
      </c>
      <c r="H52" s="54"/>
      <c r="I52" s="825"/>
    </row>
    <row r="53" spans="1:12">
      <c r="A53" s="834"/>
      <c r="B53" s="25" t="s">
        <v>118</v>
      </c>
      <c r="C53" s="169" t="s">
        <v>436</v>
      </c>
      <c r="D53" s="62">
        <f t="shared" si="0"/>
        <v>0</v>
      </c>
      <c r="E53" s="252" t="e">
        <f>D53-C53</f>
        <v>#VALUE!</v>
      </c>
      <c r="F53" s="63">
        <f t="shared" si="1"/>
        <v>0</v>
      </c>
      <c r="G53" s="252" t="e">
        <f>F53-C53</f>
        <v>#VALUE!</v>
      </c>
      <c r="H53" s="54"/>
      <c r="I53" s="825"/>
    </row>
    <row r="54" spans="1:12" ht="17">
      <c r="A54" s="834"/>
      <c r="B54" s="25" t="s">
        <v>117</v>
      </c>
      <c r="C54" s="169">
        <v>190000000</v>
      </c>
      <c r="D54" s="62">
        <f t="shared" si="0"/>
        <v>168946000.00000006</v>
      </c>
      <c r="E54" s="252">
        <f>D54-C54</f>
        <v>-21053999.99999994</v>
      </c>
      <c r="F54" s="63">
        <f t="shared" si="1"/>
        <v>236946000.00000006</v>
      </c>
      <c r="G54" s="252">
        <f>F54-C54</f>
        <v>46946000.00000006</v>
      </c>
      <c r="H54" s="62">
        <f>(C54+(C44*34))/34</f>
        <v>21849235.294117644</v>
      </c>
      <c r="I54" s="751">
        <f>H54/F44</f>
        <v>0.94056114051302819</v>
      </c>
    </row>
    <row r="55" spans="1:12">
      <c r="A55" s="834"/>
      <c r="B55" s="25" t="s">
        <v>207</v>
      </c>
      <c r="C55" s="169" t="s">
        <v>436</v>
      </c>
      <c r="D55" s="62">
        <f t="shared" si="0"/>
        <v>0</v>
      </c>
      <c r="E55" s="252" t="e">
        <f>D55-C55</f>
        <v>#VALUE!</v>
      </c>
      <c r="F55" s="63">
        <f t="shared" si="1"/>
        <v>0</v>
      </c>
      <c r="G55" s="252" t="e">
        <f>F55-C55</f>
        <v>#VALUE!</v>
      </c>
      <c r="H55" s="54"/>
      <c r="I55" s="31"/>
    </row>
    <row r="56" spans="1:12">
      <c r="A56" s="834"/>
      <c r="B56" s="25"/>
      <c r="C56" s="169"/>
      <c r="D56" s="62"/>
      <c r="E56" s="252"/>
      <c r="F56" s="63"/>
      <c r="G56" s="252"/>
      <c r="H56" s="54"/>
      <c r="I56" s="31"/>
    </row>
    <row r="57" spans="1:12">
      <c r="A57" s="834"/>
      <c r="B57" s="25"/>
      <c r="C57" s="169"/>
      <c r="D57" s="62"/>
      <c r="E57" s="252"/>
      <c r="F57" s="63"/>
      <c r="G57" s="252"/>
      <c r="H57" s="54"/>
      <c r="I57" s="31"/>
    </row>
    <row r="58" spans="1:12" ht="16.5" thickBot="1">
      <c r="A58" s="836"/>
      <c r="B58" s="716"/>
      <c r="C58" s="172"/>
      <c r="D58" s="64"/>
      <c r="E58" s="366"/>
      <c r="F58" s="65"/>
      <c r="G58" s="366"/>
      <c r="H58" s="619"/>
      <c r="I58" s="66"/>
    </row>
    <row r="59" spans="1:12">
      <c r="A59" s="929" t="s">
        <v>598</v>
      </c>
      <c r="B59" s="741" t="s">
        <v>599</v>
      </c>
      <c r="C59" s="738" t="s">
        <v>1092</v>
      </c>
      <c r="D59" s="930" t="s">
        <v>600</v>
      </c>
      <c r="E59" s="931"/>
      <c r="F59" s="931"/>
      <c r="G59" s="931"/>
      <c r="H59" s="932"/>
      <c r="J59" s="5"/>
      <c r="K59" s="5"/>
      <c r="L59" s="5"/>
    </row>
    <row r="60" spans="1:12" ht="17">
      <c r="A60" s="834"/>
      <c r="B60" s="165" t="s">
        <v>601</v>
      </c>
      <c r="C60" s="627">
        <v>1500</v>
      </c>
      <c r="D60" s="491"/>
      <c r="H60" s="42"/>
      <c r="J60" s="509"/>
      <c r="K60" s="509"/>
      <c r="L60" s="509"/>
    </row>
    <row r="61" spans="1:12" ht="17">
      <c r="A61" s="834"/>
      <c r="B61" s="165" t="s">
        <v>602</v>
      </c>
      <c r="C61" s="627">
        <v>1700</v>
      </c>
      <c r="D61" s="492"/>
      <c r="H61" s="42"/>
      <c r="J61" s="509"/>
      <c r="K61" s="509"/>
      <c r="L61" s="509"/>
    </row>
    <row r="62" spans="1:12">
      <c r="A62" s="834"/>
      <c r="B62" s="165" t="s">
        <v>603</v>
      </c>
      <c r="C62" s="627">
        <v>1791</v>
      </c>
      <c r="D62" s="492"/>
      <c r="H62" s="42"/>
    </row>
    <row r="63" spans="1:12">
      <c r="A63" s="835"/>
      <c r="B63" s="165" t="s">
        <v>604</v>
      </c>
      <c r="C63" s="627">
        <v>2273</v>
      </c>
      <c r="D63" s="492"/>
      <c r="H63" s="42"/>
    </row>
    <row r="64" spans="1:12">
      <c r="A64" s="835"/>
      <c r="B64" s="165" t="s">
        <v>1467</v>
      </c>
      <c r="C64" s="627">
        <f>H54/10000</f>
        <v>2184.9235294117643</v>
      </c>
      <c r="D64" s="492"/>
      <c r="H64" s="42"/>
    </row>
    <row r="65" spans="1:8">
      <c r="A65" s="835"/>
      <c r="B65" s="165" t="s">
        <v>1462</v>
      </c>
      <c r="C65" s="627"/>
      <c r="D65" s="492"/>
      <c r="H65" s="42"/>
    </row>
    <row r="66" spans="1:8">
      <c r="A66" s="835"/>
      <c r="B66" s="165" t="s">
        <v>1463</v>
      </c>
      <c r="C66" s="627"/>
      <c r="D66" s="492"/>
      <c r="H66" s="42"/>
    </row>
    <row r="67" spans="1:8">
      <c r="A67" s="835"/>
      <c r="B67" s="165" t="s">
        <v>1464</v>
      </c>
      <c r="C67" s="627"/>
      <c r="D67" s="492"/>
      <c r="H67" s="42"/>
    </row>
    <row r="68" spans="1:8">
      <c r="A68" s="835"/>
      <c r="B68" s="165" t="s">
        <v>1468</v>
      </c>
      <c r="C68" s="627"/>
      <c r="D68" s="492"/>
      <c r="H68" s="42"/>
    </row>
    <row r="69" spans="1:8">
      <c r="A69" s="835"/>
      <c r="B69" s="165" t="s">
        <v>1469</v>
      </c>
      <c r="C69" s="627"/>
      <c r="D69" s="492"/>
      <c r="H69" s="42"/>
    </row>
    <row r="70" spans="1:8" ht="16.5" thickBot="1">
      <c r="A70" s="836"/>
      <c r="B70" s="157" t="s">
        <v>1099</v>
      </c>
      <c r="C70" s="628"/>
      <c r="D70" s="631"/>
      <c r="E70" s="486"/>
      <c r="F70" s="486"/>
      <c r="G70" s="486"/>
      <c r="H70" s="487"/>
    </row>
    <row r="71" spans="1:8" s="76" customFormat="1" ht="4" customHeight="1" thickBot="1">
      <c r="A71" s="573"/>
      <c r="B71" s="560"/>
      <c r="C71" s="561"/>
      <c r="D71" s="370"/>
      <c r="E71" s="562"/>
      <c r="F71" s="370"/>
      <c r="G71" s="562"/>
      <c r="H71" s="114"/>
    </row>
    <row r="72" spans="1:8" s="76" customFormat="1">
      <c r="A72" s="826" t="s">
        <v>650</v>
      </c>
      <c r="B72" s="564"/>
      <c r="C72" s="565"/>
      <c r="D72" s="566"/>
      <c r="E72" s="559"/>
      <c r="F72" s="559"/>
      <c r="G72" s="559"/>
      <c r="H72" s="567"/>
    </row>
    <row r="73" spans="1:8" s="76" customFormat="1" ht="15" customHeight="1">
      <c r="A73" s="827"/>
      <c r="B73" s="206"/>
      <c r="C73" s="78"/>
      <c r="D73" s="79"/>
      <c r="H73" s="114"/>
    </row>
    <row r="74" spans="1:8" s="76" customFormat="1" ht="15" customHeight="1">
      <c r="A74" s="827"/>
      <c r="B74" s="206"/>
      <c r="C74" s="78"/>
      <c r="D74" s="79"/>
      <c r="H74" s="114"/>
    </row>
    <row r="75" spans="1:8" s="76" customFormat="1" ht="15" customHeight="1">
      <c r="A75" s="827"/>
      <c r="B75" s="206"/>
      <c r="C75" s="78"/>
      <c r="D75" s="79"/>
      <c r="H75" s="114"/>
    </row>
    <row r="76" spans="1:8" s="76" customFormat="1" ht="15" customHeight="1">
      <c r="A76" s="827"/>
      <c r="B76" s="206"/>
      <c r="C76" s="78"/>
      <c r="D76" s="79"/>
      <c r="H76" s="114"/>
    </row>
    <row r="77" spans="1:8" s="76" customFormat="1">
      <c r="A77" s="827"/>
      <c r="B77" s="206"/>
      <c r="C77" s="78"/>
      <c r="D77" s="79"/>
      <c r="H77" s="114"/>
    </row>
    <row r="78" spans="1:8" s="76" customFormat="1">
      <c r="A78" s="827"/>
      <c r="B78" s="206"/>
      <c r="C78" s="78"/>
      <c r="D78" s="79"/>
      <c r="H78" s="114"/>
    </row>
    <row r="79" spans="1:8" s="76" customFormat="1">
      <c r="A79" s="827"/>
      <c r="B79" s="206"/>
      <c r="C79" s="78"/>
      <c r="D79" s="79"/>
      <c r="H79" s="114"/>
    </row>
    <row r="80" spans="1:8" s="76" customFormat="1">
      <c r="A80" s="827"/>
      <c r="B80" s="206"/>
      <c r="C80" s="78"/>
      <c r="D80" s="79"/>
      <c r="H80" s="114"/>
    </row>
    <row r="81" spans="1:8" s="76" customFormat="1" ht="16.5" thickBot="1">
      <c r="A81" s="828"/>
      <c r="B81" s="568"/>
      <c r="C81" s="569"/>
      <c r="D81" s="570"/>
      <c r="E81" s="571"/>
      <c r="F81" s="571"/>
      <c r="G81" s="571"/>
      <c r="H81" s="572"/>
    </row>
  </sheetData>
  <mergeCells count="18">
    <mergeCell ref="C3:D3"/>
    <mergeCell ref="F12:G12"/>
    <mergeCell ref="F13:H13"/>
    <mergeCell ref="F8:H8"/>
    <mergeCell ref="A1:H1"/>
    <mergeCell ref="A2:A16"/>
    <mergeCell ref="C4:D4"/>
    <mergeCell ref="D5:E5"/>
    <mergeCell ref="G5:H5"/>
    <mergeCell ref="B15:B16"/>
    <mergeCell ref="I50:I53"/>
    <mergeCell ref="A59:A70"/>
    <mergeCell ref="D59:H59"/>
    <mergeCell ref="A72:A81"/>
    <mergeCell ref="A18:A26"/>
    <mergeCell ref="A28:A38"/>
    <mergeCell ref="A40:A49"/>
    <mergeCell ref="A50:A58"/>
  </mergeCells>
  <phoneticPr fontId="16" type="noConversion"/>
  <pageMargins left="0.69972223043441772" right="0.69972223043441772" top="0.75" bottom="0.75" header="0.30000001192092896" footer="0.30000001192092896"/>
  <pageSetup paperSize="9" scale="58" orientation="portrait" horizontalDpi="4294967293" verticalDpi="4294967293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tabColor rgb="FF0000CC"/>
  </sheetPr>
  <dimension ref="A1:K113"/>
  <sheetViews>
    <sheetView showGridLines="0" topLeftCell="A86" zoomScale="85" zoomScaleNormal="85" zoomScaleSheetLayoutView="120" workbookViewId="0">
      <selection activeCell="C80" sqref="C80"/>
    </sheetView>
  </sheetViews>
  <sheetFormatPr defaultColWidth="13.4140625" defaultRowHeight="16"/>
  <cols>
    <col min="1" max="1" width="6.4140625" style="76" customWidth="1"/>
    <col min="2" max="2" width="17.5" style="77" customWidth="1"/>
    <col min="3" max="3" width="32.25" style="78" bestFit="1" customWidth="1"/>
    <col min="4" max="4" width="18.25" style="79" bestFit="1" customWidth="1"/>
    <col min="5" max="5" width="13.1640625" style="76" bestFit="1" customWidth="1"/>
    <col min="6" max="6" width="15.75" style="76" bestFit="1" customWidth="1"/>
    <col min="7" max="7" width="14.08203125" style="76" bestFit="1" customWidth="1"/>
    <col min="8" max="8" width="13.33203125" style="76" bestFit="1" customWidth="1"/>
    <col min="9" max="9" width="26.33203125" style="76" bestFit="1" customWidth="1"/>
    <col min="10" max="16384" width="13.4140625" style="76"/>
  </cols>
  <sheetData>
    <row r="1" spans="1:8" ht="31.5" customHeight="1">
      <c r="A1" s="837" t="s">
        <v>57</v>
      </c>
      <c r="B1" s="837"/>
      <c r="C1" s="837"/>
      <c r="D1" s="837"/>
      <c r="E1" s="837"/>
      <c r="F1" s="837"/>
      <c r="G1" s="837"/>
      <c r="H1" s="837"/>
    </row>
    <row r="2" spans="1:8" ht="15.5" customHeight="1">
      <c r="A2" s="821" t="s">
        <v>112</v>
      </c>
      <c r="B2" s="6" t="s">
        <v>420</v>
      </c>
      <c r="C2" s="852" t="s">
        <v>331</v>
      </c>
      <c r="D2" s="852"/>
      <c r="E2" s="852"/>
      <c r="F2" s="852"/>
      <c r="G2" s="852"/>
      <c r="H2" s="852"/>
    </row>
    <row r="3" spans="1:8" ht="15" customHeight="1">
      <c r="A3" s="829"/>
      <c r="B3" s="11" t="s">
        <v>471</v>
      </c>
      <c r="C3" s="851" t="s">
        <v>1117</v>
      </c>
      <c r="D3" s="851"/>
      <c r="E3" s="851"/>
      <c r="F3" s="851"/>
      <c r="G3" s="851"/>
      <c r="H3" s="851"/>
    </row>
    <row r="4" spans="1:8">
      <c r="A4" s="829"/>
      <c r="B4" s="11" t="s">
        <v>407</v>
      </c>
      <c r="C4" s="81" t="s">
        <v>394</v>
      </c>
      <c r="D4" s="82"/>
      <c r="E4" s="83"/>
      <c r="F4" s="83"/>
      <c r="G4" s="83"/>
      <c r="H4" s="84"/>
    </row>
    <row r="5" spans="1:8">
      <c r="A5" s="821"/>
      <c r="B5" s="11" t="s">
        <v>58</v>
      </c>
      <c r="C5" s="845" t="s">
        <v>263</v>
      </c>
      <c r="D5" s="846"/>
      <c r="E5" s="85"/>
      <c r="F5" s="85"/>
      <c r="G5" s="85"/>
      <c r="H5" s="86"/>
    </row>
    <row r="6" spans="1:8">
      <c r="A6" s="829"/>
      <c r="B6" s="11" t="s">
        <v>53</v>
      </c>
      <c r="C6" s="845">
        <f>68800*3.3058</f>
        <v>227439.04</v>
      </c>
      <c r="D6" s="847"/>
      <c r="E6" s="85"/>
      <c r="F6" s="85"/>
      <c r="G6" s="85"/>
      <c r="H6" s="86"/>
    </row>
    <row r="7" spans="1:8">
      <c r="A7" s="838"/>
      <c r="B7" s="16" t="s">
        <v>99</v>
      </c>
      <c r="C7" s="87">
        <v>228511</v>
      </c>
      <c r="D7" s="840" t="s">
        <v>231</v>
      </c>
      <c r="E7" s="841"/>
      <c r="F7" s="359">
        <f>C7*0.3025/C9</f>
        <v>47.96986641221374</v>
      </c>
      <c r="G7" s="842" t="s">
        <v>524</v>
      </c>
      <c r="H7" s="843"/>
    </row>
    <row r="8" spans="1:8">
      <c r="A8" s="838"/>
      <c r="B8" s="16" t="s">
        <v>425</v>
      </c>
      <c r="C8" s="87">
        <v>40</v>
      </c>
      <c r="D8" s="88"/>
      <c r="E8" s="83"/>
      <c r="F8" s="83"/>
      <c r="G8" s="83"/>
      <c r="H8" s="84"/>
    </row>
    <row r="9" spans="1:8">
      <c r="A9" s="838"/>
      <c r="B9" s="16" t="s">
        <v>335</v>
      </c>
      <c r="C9" s="87">
        <v>1441</v>
      </c>
      <c r="D9" s="89" t="s">
        <v>39</v>
      </c>
      <c r="E9" s="90">
        <f>C9/C11</f>
        <v>0.35641850111303486</v>
      </c>
      <c r="F9" s="88"/>
      <c r="G9" s="83"/>
      <c r="H9" s="84"/>
    </row>
    <row r="10" spans="1:8">
      <c r="A10" s="838"/>
      <c r="B10" s="16" t="s">
        <v>54</v>
      </c>
      <c r="C10" s="360">
        <f>C11-C9</f>
        <v>2602</v>
      </c>
      <c r="D10" s="89" t="s">
        <v>145</v>
      </c>
      <c r="E10" s="361">
        <f>C10/C11</f>
        <v>0.64358149888696514</v>
      </c>
      <c r="F10" s="848" t="s">
        <v>29</v>
      </c>
      <c r="G10" s="849"/>
      <c r="H10" s="850"/>
    </row>
    <row r="11" spans="1:8">
      <c r="A11" s="838"/>
      <c r="B11" s="16" t="s">
        <v>150</v>
      </c>
      <c r="C11" s="87">
        <v>4043</v>
      </c>
      <c r="D11" s="91"/>
      <c r="E11" s="83"/>
      <c r="F11" s="83"/>
      <c r="G11" s="83"/>
      <c r="H11" s="84"/>
    </row>
    <row r="12" spans="1:8">
      <c r="A12" s="838"/>
      <c r="B12" s="16" t="s">
        <v>427</v>
      </c>
      <c r="C12" s="92">
        <v>0.17230000000000001</v>
      </c>
      <c r="D12" s="93" t="s">
        <v>84</v>
      </c>
      <c r="E12" s="94">
        <f>C7*C12</f>
        <v>39372.445299999999</v>
      </c>
      <c r="F12" s="95" t="s">
        <v>41</v>
      </c>
      <c r="G12" s="96">
        <f>E13/E12</f>
        <v>15.59141033081834</v>
      </c>
      <c r="H12" s="97"/>
    </row>
    <row r="13" spans="1:8">
      <c r="A13" s="838"/>
      <c r="B13" s="16" t="s">
        <v>466</v>
      </c>
      <c r="C13" s="92">
        <v>2.6863999999999999</v>
      </c>
      <c r="D13" s="93" t="s">
        <v>91</v>
      </c>
      <c r="E13" s="98">
        <f>C7*C13</f>
        <v>613871.95039999997</v>
      </c>
      <c r="F13" s="95" t="s">
        <v>209</v>
      </c>
      <c r="G13" s="236">
        <f>E13*76%</f>
        <v>466542.68230399996</v>
      </c>
      <c r="H13" s="99"/>
    </row>
    <row r="14" spans="1:8">
      <c r="A14" s="838"/>
      <c r="B14" s="16" t="s">
        <v>208</v>
      </c>
      <c r="C14" s="100" t="s">
        <v>23</v>
      </c>
      <c r="D14" s="88"/>
      <c r="E14" s="83"/>
      <c r="F14" s="840" t="s">
        <v>234</v>
      </c>
      <c r="G14" s="841"/>
      <c r="H14" s="237">
        <f>G13/C55</f>
        <v>1.5275646406998977</v>
      </c>
    </row>
    <row r="15" spans="1:8" ht="15" customHeight="1">
      <c r="A15" s="838"/>
      <c r="B15" s="16" t="s">
        <v>441</v>
      </c>
      <c r="C15" s="944" t="s">
        <v>148</v>
      </c>
      <c r="D15" s="944"/>
      <c r="E15" s="83"/>
      <c r="F15" s="848" t="s">
        <v>392</v>
      </c>
      <c r="G15" s="849"/>
      <c r="H15" s="850"/>
    </row>
    <row r="16" spans="1:8">
      <c r="A16" s="838"/>
      <c r="B16" s="32" t="s">
        <v>87</v>
      </c>
      <c r="C16" s="100" t="s">
        <v>779</v>
      </c>
      <c r="D16" s="104"/>
      <c r="E16" s="83"/>
      <c r="F16" s="83"/>
      <c r="G16" s="83"/>
      <c r="H16" s="84"/>
    </row>
    <row r="17" spans="1:8" ht="15" customHeight="1">
      <c r="A17" s="821"/>
      <c r="B17" s="844" t="s">
        <v>470</v>
      </c>
      <c r="C17" s="105"/>
      <c r="D17" s="215"/>
      <c r="E17" s="106"/>
      <c r="F17" s="106"/>
      <c r="G17" s="106"/>
      <c r="H17" s="107"/>
    </row>
    <row r="18" spans="1:8">
      <c r="A18" s="839"/>
      <c r="B18" s="844"/>
      <c r="C18" s="108"/>
      <c r="D18" s="109"/>
      <c r="E18" s="110"/>
      <c r="F18" s="110"/>
      <c r="G18" s="110"/>
      <c r="H18" s="111"/>
    </row>
    <row r="19" spans="1:8" ht="5.25" customHeight="1">
      <c r="A19" s="112"/>
      <c r="B19" s="40"/>
      <c r="C19" s="113"/>
      <c r="D19" s="113"/>
      <c r="H19" s="114"/>
    </row>
    <row r="20" spans="1:8">
      <c r="A20" s="821" t="s">
        <v>49</v>
      </c>
      <c r="B20" s="43" t="s">
        <v>174</v>
      </c>
      <c r="C20" s="115" t="s">
        <v>374</v>
      </c>
      <c r="D20" s="116"/>
      <c r="E20" s="117"/>
      <c r="F20" s="117"/>
      <c r="G20" s="117"/>
      <c r="H20" s="118"/>
    </row>
    <row r="21" spans="1:8">
      <c r="A21" s="822"/>
      <c r="B21" s="25" t="s">
        <v>65</v>
      </c>
      <c r="C21" s="119" t="s">
        <v>389</v>
      </c>
      <c r="D21" s="120"/>
      <c r="E21" s="83"/>
      <c r="F21" s="83"/>
      <c r="G21" s="83"/>
      <c r="H21" s="84"/>
    </row>
    <row r="22" spans="1:8">
      <c r="A22" s="821"/>
      <c r="B22" s="25" t="s">
        <v>95</v>
      </c>
      <c r="C22" s="93" t="s">
        <v>334</v>
      </c>
      <c r="D22" s="120"/>
      <c r="E22" s="83"/>
      <c r="F22" s="83"/>
      <c r="G22" s="83"/>
      <c r="H22" s="84"/>
    </row>
    <row r="23" spans="1:8">
      <c r="A23" s="822"/>
      <c r="B23" s="25" t="s">
        <v>73</v>
      </c>
      <c r="C23" s="93" t="s">
        <v>293</v>
      </c>
      <c r="D23" s="120"/>
      <c r="E23" s="83"/>
      <c r="F23" s="83"/>
      <c r="G23" s="83"/>
      <c r="H23" s="84"/>
    </row>
    <row r="24" spans="1:8">
      <c r="A24" s="822"/>
      <c r="B24" s="25" t="s">
        <v>177</v>
      </c>
      <c r="C24" s="93" t="s">
        <v>310</v>
      </c>
      <c r="D24" s="91"/>
      <c r="E24" s="83"/>
      <c r="F24" s="83"/>
      <c r="G24" s="83"/>
      <c r="H24" s="84"/>
    </row>
    <row r="25" spans="1:8">
      <c r="A25" s="822"/>
      <c r="B25" s="25" t="s">
        <v>167</v>
      </c>
      <c r="C25" s="93" t="s">
        <v>333</v>
      </c>
      <c r="D25" s="91"/>
      <c r="E25" s="83"/>
      <c r="F25" s="83"/>
      <c r="G25" s="83"/>
      <c r="H25" s="84"/>
    </row>
    <row r="26" spans="1:8">
      <c r="A26" s="822"/>
      <c r="B26" s="25" t="s">
        <v>447</v>
      </c>
      <c r="C26" s="93" t="s">
        <v>787</v>
      </c>
      <c r="D26" s="91"/>
      <c r="E26" s="83"/>
      <c r="F26" s="83"/>
      <c r="G26" s="83"/>
      <c r="H26" s="84"/>
    </row>
    <row r="27" spans="1:8">
      <c r="A27" s="822"/>
      <c r="B27" s="25"/>
      <c r="C27" s="93"/>
      <c r="D27" s="91"/>
      <c r="E27" s="83"/>
      <c r="F27" s="83"/>
      <c r="G27" s="83"/>
      <c r="H27" s="84"/>
    </row>
    <row r="28" spans="1:8">
      <c r="A28" s="823"/>
      <c r="B28" s="25"/>
      <c r="C28" s="122"/>
      <c r="D28" s="123"/>
      <c r="E28" s="110"/>
      <c r="F28" s="110"/>
      <c r="G28" s="110"/>
      <c r="H28" s="111"/>
    </row>
    <row r="29" spans="1:8" ht="5.25" customHeight="1">
      <c r="A29" s="112"/>
      <c r="B29" s="40"/>
      <c r="C29" s="3"/>
      <c r="H29" s="114"/>
    </row>
    <row r="30" spans="1:8" s="80" customFormat="1" ht="13.5" customHeight="1">
      <c r="A30" s="821" t="s">
        <v>1118</v>
      </c>
      <c r="B30" s="345" t="s">
        <v>101</v>
      </c>
      <c r="C30" s="346" t="s">
        <v>48</v>
      </c>
      <c r="D30" s="347" t="s">
        <v>125</v>
      </c>
      <c r="E30" s="347" t="s">
        <v>434</v>
      </c>
      <c r="F30" s="347" t="s">
        <v>414</v>
      </c>
      <c r="G30" s="348" t="s">
        <v>454</v>
      </c>
      <c r="H30" s="349" t="s">
        <v>470</v>
      </c>
    </row>
    <row r="31" spans="1:8">
      <c r="A31" s="822"/>
      <c r="B31" s="129" t="s">
        <v>464</v>
      </c>
      <c r="C31" s="130">
        <f>49*D31</f>
        <v>11466</v>
      </c>
      <c r="D31" s="87">
        <v>234</v>
      </c>
      <c r="E31" s="87">
        <v>210</v>
      </c>
      <c r="F31" s="87">
        <f t="shared" ref="F31:F54" si="0">D31-E31</f>
        <v>24</v>
      </c>
      <c r="G31" s="131">
        <f t="shared" ref="G31:G54" si="1">D31/$D$55</f>
        <v>6.1208475019618104E-2</v>
      </c>
      <c r="H31" s="132" t="s">
        <v>449</v>
      </c>
    </row>
    <row r="32" spans="1:8">
      <c r="A32" s="829"/>
      <c r="B32" s="16" t="s">
        <v>156</v>
      </c>
      <c r="C32" s="130">
        <f>59*D32</f>
        <v>23128</v>
      </c>
      <c r="D32" s="87">
        <v>392</v>
      </c>
      <c r="E32" s="87">
        <v>201</v>
      </c>
      <c r="F32" s="87">
        <f t="shared" si="0"/>
        <v>191</v>
      </c>
      <c r="G32" s="131">
        <f t="shared" si="1"/>
        <v>0.10253727439183886</v>
      </c>
      <c r="H32" s="132"/>
    </row>
    <row r="33" spans="1:8">
      <c r="A33" s="821"/>
      <c r="B33" s="16" t="s">
        <v>82</v>
      </c>
      <c r="C33" s="130">
        <f>59*D33</f>
        <v>3658</v>
      </c>
      <c r="D33" s="87">
        <v>62</v>
      </c>
      <c r="E33" s="87">
        <v>59</v>
      </c>
      <c r="F33" s="87">
        <f t="shared" si="0"/>
        <v>3</v>
      </c>
      <c r="G33" s="131">
        <f t="shared" si="1"/>
        <v>1.6217630133403087E-2</v>
      </c>
      <c r="H33" s="132"/>
    </row>
    <row r="34" spans="1:8">
      <c r="A34" s="822"/>
      <c r="B34" s="129" t="s">
        <v>144</v>
      </c>
      <c r="C34" s="130">
        <f>59*D34</f>
        <v>2891</v>
      </c>
      <c r="D34" s="87">
        <v>49</v>
      </c>
      <c r="E34" s="87">
        <v>44</v>
      </c>
      <c r="F34" s="87">
        <f t="shared" si="0"/>
        <v>5</v>
      </c>
      <c r="G34" s="131">
        <f t="shared" si="1"/>
        <v>1.2817159298979858E-2</v>
      </c>
      <c r="H34" s="132"/>
    </row>
    <row r="35" spans="1:8">
      <c r="A35" s="822"/>
      <c r="B35" s="129" t="s">
        <v>74</v>
      </c>
      <c r="C35" s="130">
        <f>59*D35</f>
        <v>1888</v>
      </c>
      <c r="D35" s="87">
        <v>32</v>
      </c>
      <c r="E35" s="87">
        <v>29</v>
      </c>
      <c r="F35" s="87">
        <f t="shared" si="0"/>
        <v>3</v>
      </c>
      <c r="G35" s="131">
        <f t="shared" si="1"/>
        <v>8.37038974627256E-3</v>
      </c>
      <c r="H35" s="132"/>
    </row>
    <row r="36" spans="1:8">
      <c r="A36" s="822"/>
      <c r="B36" s="129" t="s">
        <v>140</v>
      </c>
      <c r="C36" s="130">
        <f>72*D36</f>
        <v>10800</v>
      </c>
      <c r="D36" s="87">
        <v>150</v>
      </c>
      <c r="E36" s="87">
        <v>34</v>
      </c>
      <c r="F36" s="87">
        <f t="shared" si="0"/>
        <v>116</v>
      </c>
      <c r="G36" s="131">
        <f t="shared" si="1"/>
        <v>3.923620193565263E-2</v>
      </c>
      <c r="H36" s="132"/>
    </row>
    <row r="37" spans="1:8">
      <c r="A37" s="821"/>
      <c r="B37" s="129" t="s">
        <v>109</v>
      </c>
      <c r="C37" s="130">
        <f>72*D37</f>
        <v>7632</v>
      </c>
      <c r="D37" s="87">
        <v>106</v>
      </c>
      <c r="E37" s="87">
        <v>76</v>
      </c>
      <c r="F37" s="87">
        <f t="shared" si="0"/>
        <v>30</v>
      </c>
      <c r="G37" s="131">
        <f t="shared" si="1"/>
        <v>2.7726916034527857E-2</v>
      </c>
      <c r="H37" s="132"/>
    </row>
    <row r="38" spans="1:8">
      <c r="A38" s="829"/>
      <c r="B38" s="129" t="s">
        <v>72</v>
      </c>
      <c r="C38" s="130">
        <f>72*D38</f>
        <v>4752</v>
      </c>
      <c r="D38" s="87">
        <v>66</v>
      </c>
      <c r="E38" s="87">
        <v>43</v>
      </c>
      <c r="F38" s="87">
        <f t="shared" si="0"/>
        <v>23</v>
      </c>
      <c r="G38" s="131">
        <f t="shared" si="1"/>
        <v>1.7263928851687156E-2</v>
      </c>
      <c r="H38" s="132"/>
    </row>
    <row r="39" spans="1:8">
      <c r="A39" s="822"/>
      <c r="B39" s="129" t="s">
        <v>55</v>
      </c>
      <c r="C39" s="130">
        <f>72*D39</f>
        <v>3600</v>
      </c>
      <c r="D39" s="87">
        <v>50</v>
      </c>
      <c r="E39" s="87">
        <v>48</v>
      </c>
      <c r="F39" s="87">
        <f t="shared" si="0"/>
        <v>2</v>
      </c>
      <c r="G39" s="131">
        <f t="shared" si="1"/>
        <v>1.3078733978550876E-2</v>
      </c>
      <c r="H39" s="132"/>
    </row>
    <row r="40" spans="1:8">
      <c r="A40" s="821"/>
      <c r="B40" s="129" t="s">
        <v>77</v>
      </c>
      <c r="C40" s="130">
        <f>72*D40</f>
        <v>2520</v>
      </c>
      <c r="D40" s="87">
        <v>35</v>
      </c>
      <c r="E40" s="87">
        <v>32</v>
      </c>
      <c r="F40" s="87">
        <f t="shared" si="0"/>
        <v>3</v>
      </c>
      <c r="G40" s="131">
        <f t="shared" si="1"/>
        <v>9.1551137849856142E-3</v>
      </c>
      <c r="H40" s="132"/>
    </row>
    <row r="41" spans="1:8">
      <c r="A41" s="829"/>
      <c r="B41" s="129" t="s">
        <v>142</v>
      </c>
      <c r="C41" s="130">
        <f t="shared" ref="C41:C46" si="2">84*D41</f>
        <v>87696</v>
      </c>
      <c r="D41" s="133">
        <v>1044</v>
      </c>
      <c r="E41" s="133">
        <v>474</v>
      </c>
      <c r="F41" s="87">
        <f t="shared" si="0"/>
        <v>570</v>
      </c>
      <c r="G41" s="131">
        <f t="shared" si="1"/>
        <v>0.27308396547214231</v>
      </c>
      <c r="H41" s="134"/>
    </row>
    <row r="42" spans="1:8">
      <c r="A42" s="829"/>
      <c r="B42" s="129" t="s">
        <v>47</v>
      </c>
      <c r="C42" s="130">
        <f t="shared" si="2"/>
        <v>19068</v>
      </c>
      <c r="D42" s="133">
        <v>227</v>
      </c>
      <c r="E42" s="133">
        <v>202</v>
      </c>
      <c r="F42" s="87">
        <f t="shared" si="0"/>
        <v>25</v>
      </c>
      <c r="G42" s="131">
        <f t="shared" si="1"/>
        <v>5.9377452262620978E-2</v>
      </c>
      <c r="H42" s="134"/>
    </row>
    <row r="43" spans="1:8">
      <c r="A43" s="829"/>
      <c r="B43" s="129" t="s">
        <v>215</v>
      </c>
      <c r="C43" s="130">
        <f t="shared" si="2"/>
        <v>40908</v>
      </c>
      <c r="D43" s="133">
        <v>487</v>
      </c>
      <c r="E43" s="133">
        <v>473</v>
      </c>
      <c r="F43" s="87">
        <f t="shared" si="0"/>
        <v>14</v>
      </c>
      <c r="G43" s="131">
        <f t="shared" si="1"/>
        <v>0.12738686895108553</v>
      </c>
      <c r="H43" s="134"/>
    </row>
    <row r="44" spans="1:8">
      <c r="A44" s="829"/>
      <c r="B44" s="129" t="s">
        <v>127</v>
      </c>
      <c r="C44" s="130">
        <f t="shared" si="2"/>
        <v>11340</v>
      </c>
      <c r="D44" s="133">
        <v>135</v>
      </c>
      <c r="E44" s="133">
        <v>133</v>
      </c>
      <c r="F44" s="87">
        <f t="shared" si="0"/>
        <v>2</v>
      </c>
      <c r="G44" s="131">
        <f t="shared" si="1"/>
        <v>3.5312581742087366E-2</v>
      </c>
      <c r="H44" s="134"/>
    </row>
    <row r="45" spans="1:8">
      <c r="A45" s="821"/>
      <c r="B45" s="129" t="s">
        <v>159</v>
      </c>
      <c r="C45" s="130">
        <f t="shared" si="2"/>
        <v>18732</v>
      </c>
      <c r="D45" s="133">
        <v>223</v>
      </c>
      <c r="E45" s="133">
        <v>220</v>
      </c>
      <c r="F45" s="87">
        <f t="shared" si="0"/>
        <v>3</v>
      </c>
      <c r="G45" s="131">
        <f t="shared" si="1"/>
        <v>5.8331153544336906E-2</v>
      </c>
      <c r="H45" s="134"/>
    </row>
    <row r="46" spans="1:8">
      <c r="A46" s="829"/>
      <c r="B46" s="129" t="s">
        <v>137</v>
      </c>
      <c r="C46" s="130">
        <f t="shared" si="2"/>
        <v>2772</v>
      </c>
      <c r="D46" s="133">
        <v>33</v>
      </c>
      <c r="E46" s="133">
        <v>33</v>
      </c>
      <c r="F46" s="87">
        <f t="shared" si="0"/>
        <v>0</v>
      </c>
      <c r="G46" s="131">
        <f t="shared" si="1"/>
        <v>8.6319644258435781E-3</v>
      </c>
      <c r="H46" s="134"/>
    </row>
    <row r="47" spans="1:8">
      <c r="A47" s="821"/>
      <c r="B47" s="129" t="s">
        <v>410</v>
      </c>
      <c r="C47" s="130">
        <f>97*D47</f>
        <v>27257</v>
      </c>
      <c r="D47" s="133">
        <v>281</v>
      </c>
      <c r="E47" s="133">
        <v>9</v>
      </c>
      <c r="F47" s="87">
        <f t="shared" si="0"/>
        <v>272</v>
      </c>
      <c r="G47" s="131">
        <f t="shared" si="1"/>
        <v>7.3502484959455924E-2</v>
      </c>
      <c r="H47" s="134"/>
    </row>
    <row r="48" spans="1:8">
      <c r="A48" s="829"/>
      <c r="B48" s="129" t="s">
        <v>453</v>
      </c>
      <c r="C48" s="130">
        <f>115*D48</f>
        <v>22655</v>
      </c>
      <c r="D48" s="133">
        <v>197</v>
      </c>
      <c r="E48" s="133">
        <v>0</v>
      </c>
      <c r="F48" s="87">
        <f t="shared" si="0"/>
        <v>197</v>
      </c>
      <c r="G48" s="131">
        <f t="shared" si="1"/>
        <v>5.153021187549045E-2</v>
      </c>
      <c r="H48" s="134"/>
    </row>
    <row r="49" spans="1:8">
      <c r="A49" s="829"/>
      <c r="B49" s="129" t="s">
        <v>164</v>
      </c>
      <c r="C49" s="130">
        <f>120*D49</f>
        <v>840</v>
      </c>
      <c r="D49" s="133">
        <v>7</v>
      </c>
      <c r="E49" s="133">
        <v>0</v>
      </c>
      <c r="F49" s="87">
        <f t="shared" si="0"/>
        <v>7</v>
      </c>
      <c r="G49" s="131">
        <f t="shared" si="1"/>
        <v>1.8310227569971226E-3</v>
      </c>
      <c r="H49" s="134"/>
    </row>
    <row r="50" spans="1:8">
      <c r="A50" s="821"/>
      <c r="B50" s="129" t="s">
        <v>108</v>
      </c>
      <c r="C50" s="130">
        <f>120*D50</f>
        <v>120</v>
      </c>
      <c r="D50" s="133">
        <v>1</v>
      </c>
      <c r="E50" s="133">
        <v>0</v>
      </c>
      <c r="F50" s="87">
        <f t="shared" si="0"/>
        <v>1</v>
      </c>
      <c r="G50" s="131">
        <f t="shared" si="1"/>
        <v>2.615746795710175E-4</v>
      </c>
      <c r="H50" s="134"/>
    </row>
    <row r="51" spans="1:8">
      <c r="A51" s="829"/>
      <c r="B51" s="129" t="s">
        <v>432</v>
      </c>
      <c r="C51" s="130">
        <f>132*D51</f>
        <v>396</v>
      </c>
      <c r="D51" s="133">
        <v>3</v>
      </c>
      <c r="E51" s="133">
        <v>3</v>
      </c>
      <c r="F51" s="87">
        <f t="shared" si="0"/>
        <v>0</v>
      </c>
      <c r="G51" s="131">
        <f t="shared" si="1"/>
        <v>7.8472403871305261E-4</v>
      </c>
      <c r="H51" s="134"/>
    </row>
    <row r="52" spans="1:8">
      <c r="A52" s="821"/>
      <c r="B52" s="129" t="s">
        <v>419</v>
      </c>
      <c r="C52" s="130">
        <f>135*D52</f>
        <v>270</v>
      </c>
      <c r="D52" s="133">
        <v>2</v>
      </c>
      <c r="E52" s="133">
        <v>0</v>
      </c>
      <c r="F52" s="87">
        <f t="shared" si="0"/>
        <v>2</v>
      </c>
      <c r="G52" s="131">
        <f t="shared" si="1"/>
        <v>5.23149359142035E-4</v>
      </c>
      <c r="H52" s="134"/>
    </row>
    <row r="53" spans="1:8">
      <c r="A53" s="829"/>
      <c r="B53" s="129" t="s">
        <v>409</v>
      </c>
      <c r="C53" s="130">
        <f>145*D53</f>
        <v>145</v>
      </c>
      <c r="D53" s="133">
        <v>1</v>
      </c>
      <c r="E53" s="133">
        <v>0</v>
      </c>
      <c r="F53" s="87">
        <f t="shared" si="0"/>
        <v>1</v>
      </c>
      <c r="G53" s="131">
        <f t="shared" si="1"/>
        <v>2.615746795710175E-4</v>
      </c>
      <c r="H53" s="134"/>
    </row>
    <row r="54" spans="1:8">
      <c r="A54" s="821"/>
      <c r="B54" s="129" t="s">
        <v>413</v>
      </c>
      <c r="C54" s="130">
        <f>147*D54</f>
        <v>882</v>
      </c>
      <c r="D54" s="133">
        <v>6</v>
      </c>
      <c r="E54" s="133">
        <v>0</v>
      </c>
      <c r="F54" s="87">
        <f t="shared" si="0"/>
        <v>6</v>
      </c>
      <c r="G54" s="131">
        <f t="shared" si="1"/>
        <v>1.5694480774261052E-3</v>
      </c>
      <c r="H54" s="134"/>
    </row>
    <row r="55" spans="1:8">
      <c r="A55" s="823"/>
      <c r="B55" s="129" t="s">
        <v>462</v>
      </c>
      <c r="C55" s="57">
        <f t="shared" ref="C55:H55" si="3">SUM(C31:C54)</f>
        <v>305416</v>
      </c>
      <c r="D55" s="57">
        <f t="shared" si="3"/>
        <v>3823</v>
      </c>
      <c r="E55" s="57">
        <f t="shared" si="3"/>
        <v>2323</v>
      </c>
      <c r="F55" s="57">
        <f t="shared" si="3"/>
        <v>1500</v>
      </c>
      <c r="G55" s="135">
        <f t="shared" si="3"/>
        <v>0.99999999999999989</v>
      </c>
      <c r="H55" s="136">
        <f t="shared" si="3"/>
        <v>0</v>
      </c>
    </row>
    <row r="56" spans="1:8" ht="6" customHeight="1">
      <c r="A56" s="112"/>
      <c r="B56" s="40"/>
      <c r="C56" s="3"/>
      <c r="H56" s="114"/>
    </row>
    <row r="57" spans="1:8" s="77" customFormat="1">
      <c r="A57" s="830" t="s">
        <v>5</v>
      </c>
      <c r="B57" s="345" t="s">
        <v>360</v>
      </c>
      <c r="C57" s="347" t="s">
        <v>901</v>
      </c>
      <c r="D57" s="347" t="s">
        <v>913</v>
      </c>
      <c r="E57" s="347" t="s">
        <v>43</v>
      </c>
      <c r="F57" s="347" t="s">
        <v>903</v>
      </c>
      <c r="G57" s="350" t="s">
        <v>172</v>
      </c>
      <c r="H57" s="351" t="s">
        <v>470</v>
      </c>
    </row>
    <row r="58" spans="1:8" ht="16.5" customHeight="1">
      <c r="A58" s="831"/>
      <c r="B58" s="16" t="s">
        <v>464</v>
      </c>
      <c r="C58" s="138">
        <v>10337589</v>
      </c>
      <c r="D58" s="139"/>
      <c r="E58" s="362">
        <f>(D58-C58)*22</f>
        <v>-227426958</v>
      </c>
      <c r="F58" s="372"/>
      <c r="G58" s="362">
        <f>(F58-C58)*22</f>
        <v>-227426958</v>
      </c>
      <c r="H58" s="140"/>
    </row>
    <row r="59" spans="1:8" ht="16.5" customHeight="1">
      <c r="A59" s="830"/>
      <c r="B59" s="16" t="s">
        <v>156</v>
      </c>
      <c r="C59" s="138">
        <v>10449137</v>
      </c>
      <c r="D59" s="139"/>
      <c r="E59" s="362">
        <f>(D59-C59)*25</f>
        <v>-261228425</v>
      </c>
      <c r="F59" s="372"/>
      <c r="G59" s="362">
        <f>(F59-C59)*25</f>
        <v>-261228425</v>
      </c>
      <c r="H59" s="140"/>
    </row>
    <row r="60" spans="1:8" ht="16.5" customHeight="1">
      <c r="A60" s="831"/>
      <c r="B60" s="16" t="s">
        <v>144</v>
      </c>
      <c r="C60" s="138">
        <v>10577221</v>
      </c>
      <c r="D60" s="139"/>
      <c r="E60" s="362">
        <f>(D60-C60)*25</f>
        <v>-264430525</v>
      </c>
      <c r="F60" s="372"/>
      <c r="G60" s="362">
        <f>(F60-C60)*25</f>
        <v>-264430525</v>
      </c>
      <c r="H60" s="140"/>
    </row>
    <row r="61" spans="1:8" ht="16.5" customHeight="1">
      <c r="A61" s="831"/>
      <c r="B61" s="16" t="s">
        <v>140</v>
      </c>
      <c r="C61" s="138">
        <v>10917007</v>
      </c>
      <c r="D61" s="139"/>
      <c r="E61" s="362">
        <f>(D61-C61)*30</f>
        <v>-327510210</v>
      </c>
      <c r="F61" s="372"/>
      <c r="G61" s="362">
        <f>(F61-C61)*30</f>
        <v>-327510210</v>
      </c>
      <c r="H61" s="140"/>
    </row>
    <row r="62" spans="1:8" ht="16.5" customHeight="1">
      <c r="A62" s="831"/>
      <c r="B62" s="129" t="s">
        <v>55</v>
      </c>
      <c r="C62" s="138">
        <v>10713379</v>
      </c>
      <c r="D62" s="139"/>
      <c r="E62" s="362">
        <f>(D62-C62)*30</f>
        <v>-321401370</v>
      </c>
      <c r="F62" s="372"/>
      <c r="G62" s="362">
        <f>(F62-C62)*30</f>
        <v>-321401370</v>
      </c>
      <c r="H62" s="140"/>
    </row>
    <row r="63" spans="1:8" ht="16.5" customHeight="1">
      <c r="A63" s="831"/>
      <c r="B63" s="129" t="s">
        <v>142</v>
      </c>
      <c r="C63" s="728">
        <v>10513263</v>
      </c>
      <c r="D63" s="372">
        <f>F63-2000000</f>
        <v>32410000</v>
      </c>
      <c r="E63" s="362">
        <f>(D63-C63)*34</f>
        <v>744489058</v>
      </c>
      <c r="F63" s="723">
        <v>34410000</v>
      </c>
      <c r="G63" s="362">
        <f>(F63-C63)*34</f>
        <v>812489058</v>
      </c>
      <c r="H63" s="140" t="s">
        <v>1175</v>
      </c>
    </row>
    <row r="64" spans="1:8" ht="16.5" customHeight="1">
      <c r="A64" s="831"/>
      <c r="B64" s="129" t="s">
        <v>215</v>
      </c>
      <c r="C64" s="141">
        <v>10420911</v>
      </c>
      <c r="D64" s="139"/>
      <c r="E64" s="362">
        <f>(D64-C64)*34</f>
        <v>-354310974</v>
      </c>
      <c r="F64" s="372"/>
      <c r="G64" s="362">
        <f>(F64-C64)*34</f>
        <v>-354310974</v>
      </c>
      <c r="H64" s="140"/>
    </row>
    <row r="65" spans="1:9" ht="16.5" customHeight="1">
      <c r="A65" s="831"/>
      <c r="B65" s="129" t="s">
        <v>159</v>
      </c>
      <c r="C65" s="141">
        <v>10190488</v>
      </c>
      <c r="D65" s="139"/>
      <c r="E65" s="362">
        <f>(D65-C65)*34</f>
        <v>-346476592</v>
      </c>
      <c r="F65" s="372"/>
      <c r="G65" s="362">
        <f>(F65-C65)*34</f>
        <v>-346476592</v>
      </c>
      <c r="H65" s="140"/>
    </row>
    <row r="66" spans="1:9" ht="16.5" customHeight="1">
      <c r="A66" s="830" t="s">
        <v>393</v>
      </c>
      <c r="B66" s="129" t="s">
        <v>410</v>
      </c>
      <c r="C66" s="141">
        <v>10319276</v>
      </c>
      <c r="D66" s="372">
        <f>F66-2000000</f>
        <v>29690000</v>
      </c>
      <c r="E66" s="362">
        <f>(D66-C66)*39</f>
        <v>755458236</v>
      </c>
      <c r="F66" s="372">
        <v>31690000</v>
      </c>
      <c r="G66" s="362">
        <f>(F66-C66)*39</f>
        <v>833458236</v>
      </c>
      <c r="H66" s="202"/>
      <c r="I66" s="370"/>
    </row>
    <row r="67" spans="1:9" ht="16.5" customHeight="1">
      <c r="A67" s="832"/>
      <c r="B67" s="129" t="s">
        <v>453</v>
      </c>
      <c r="C67" s="141">
        <v>10589310</v>
      </c>
      <c r="D67" s="372">
        <f>F67-2000000</f>
        <v>29690000</v>
      </c>
      <c r="E67" s="362">
        <f>(D67-C67)*46</f>
        <v>878631740</v>
      </c>
      <c r="F67" s="372">
        <v>31690000</v>
      </c>
      <c r="G67" s="362">
        <f>(F67-C67)*46</f>
        <v>970631740</v>
      </c>
      <c r="H67" s="202"/>
      <c r="I67" s="370"/>
    </row>
    <row r="68" spans="1:9" ht="16.5" customHeight="1">
      <c r="A68" s="832"/>
      <c r="B68" s="129" t="s">
        <v>164</v>
      </c>
      <c r="C68" s="141">
        <v>8858511</v>
      </c>
      <c r="D68" s="139"/>
      <c r="E68" s="362">
        <f>(D68-C68)*47</f>
        <v>-416350017</v>
      </c>
      <c r="F68" s="372"/>
      <c r="G68" s="362">
        <f>(F68-C68)*47</f>
        <v>-416350017</v>
      </c>
      <c r="H68" s="202"/>
      <c r="I68" s="371"/>
    </row>
    <row r="69" spans="1:9" ht="16.5" customHeight="1">
      <c r="A69" s="832"/>
      <c r="B69" s="129" t="s">
        <v>432</v>
      </c>
      <c r="C69" s="141">
        <v>8642066</v>
      </c>
      <c r="D69" s="139"/>
      <c r="E69" s="362">
        <f>(D69-C69)*48</f>
        <v>-414819168</v>
      </c>
      <c r="F69" s="372"/>
      <c r="G69" s="362">
        <f>(F69-C69)*48</f>
        <v>-414819168</v>
      </c>
      <c r="H69" s="202"/>
    </row>
    <row r="70" spans="1:9" ht="16.5" customHeight="1">
      <c r="A70" s="832"/>
      <c r="B70" s="129" t="s">
        <v>419</v>
      </c>
      <c r="C70" s="141">
        <v>20063052</v>
      </c>
      <c r="D70" s="139"/>
      <c r="E70" s="362">
        <f>(D70-C70)*52</f>
        <v>-1043278704</v>
      </c>
      <c r="F70" s="372"/>
      <c r="G70" s="362">
        <f>(F70-C70)*52</f>
        <v>-1043278704</v>
      </c>
      <c r="H70" s="202"/>
    </row>
    <row r="71" spans="1:9" ht="16.5" customHeight="1">
      <c r="A71" s="830"/>
      <c r="B71" s="129" t="s">
        <v>409</v>
      </c>
      <c r="C71" s="141">
        <v>20112006</v>
      </c>
      <c r="D71" s="139"/>
      <c r="E71" s="362">
        <f>(D71-C71)*55</f>
        <v>-1106160330</v>
      </c>
      <c r="F71" s="372"/>
      <c r="G71" s="362">
        <f>(F71-C71)*55</f>
        <v>-1106160330</v>
      </c>
      <c r="H71" s="202"/>
    </row>
    <row r="72" spans="1:9" ht="16.5" customHeight="1">
      <c r="A72" s="832"/>
      <c r="B72" s="129" t="s">
        <v>413</v>
      </c>
      <c r="C72" s="141">
        <v>20178013</v>
      </c>
      <c r="D72" s="139"/>
      <c r="E72" s="362">
        <f>(D72-C72)*55</f>
        <v>-1109790715</v>
      </c>
      <c r="F72" s="372"/>
      <c r="G72" s="362">
        <f>(F72-C72)*55</f>
        <v>-1109790715</v>
      </c>
      <c r="H72" s="202"/>
    </row>
    <row r="73" spans="1:9" ht="5.25" customHeight="1" thickBot="1">
      <c r="A73" s="142"/>
      <c r="B73" s="143"/>
      <c r="C73" s="144"/>
      <c r="D73" s="144"/>
      <c r="E73" s="145"/>
      <c r="F73" s="144"/>
      <c r="G73" s="145"/>
      <c r="H73" s="146"/>
    </row>
    <row r="74" spans="1:9" ht="60.15" customHeight="1">
      <c r="A74" s="818" t="s">
        <v>286</v>
      </c>
      <c r="B74" s="347" t="s">
        <v>101</v>
      </c>
      <c r="C74" s="508" t="s">
        <v>1395</v>
      </c>
      <c r="D74" s="352" t="s">
        <v>247</v>
      </c>
      <c r="E74" s="353" t="s">
        <v>322</v>
      </c>
      <c r="F74" s="352" t="s">
        <v>222</v>
      </c>
      <c r="G74" s="353" t="s">
        <v>367</v>
      </c>
      <c r="H74" s="347" t="s">
        <v>1136</v>
      </c>
      <c r="I74" s="824" t="s">
        <v>1206</v>
      </c>
    </row>
    <row r="75" spans="1:9">
      <c r="A75" s="819"/>
      <c r="B75" s="228" t="s">
        <v>464</v>
      </c>
      <c r="C75" s="138" t="s">
        <v>436</v>
      </c>
      <c r="D75" s="139">
        <f t="shared" ref="D75:D89" si="4">E58</f>
        <v>-227426958</v>
      </c>
      <c r="E75" s="362" t="e">
        <f t="shared" ref="E75:E89" si="5">D75-C75</f>
        <v>#VALUE!</v>
      </c>
      <c r="F75" s="372">
        <f t="shared" ref="F75:F89" si="6">G58</f>
        <v>-227426958</v>
      </c>
      <c r="G75" s="362" t="e">
        <f t="shared" ref="G75:G89" si="7">F75-C75</f>
        <v>#VALUE!</v>
      </c>
      <c r="H75" s="739"/>
      <c r="I75" s="825"/>
    </row>
    <row r="76" spans="1:9">
      <c r="A76" s="819"/>
      <c r="B76" s="228" t="s">
        <v>473</v>
      </c>
      <c r="C76" s="138" t="s">
        <v>1165</v>
      </c>
      <c r="D76" s="139">
        <f t="shared" si="4"/>
        <v>-261228425</v>
      </c>
      <c r="E76" s="362" t="e">
        <f t="shared" si="5"/>
        <v>#VALUE!</v>
      </c>
      <c r="F76" s="372">
        <f t="shared" si="6"/>
        <v>-261228425</v>
      </c>
      <c r="G76" s="362" t="e">
        <f t="shared" si="7"/>
        <v>#VALUE!</v>
      </c>
      <c r="H76" s="739"/>
      <c r="I76" s="825"/>
    </row>
    <row r="77" spans="1:9">
      <c r="A77" s="819"/>
      <c r="B77" s="228" t="s">
        <v>475</v>
      </c>
      <c r="C77" s="138" t="s">
        <v>436</v>
      </c>
      <c r="D77" s="139">
        <f t="shared" si="4"/>
        <v>-264430525</v>
      </c>
      <c r="E77" s="362" t="e">
        <f t="shared" si="5"/>
        <v>#VALUE!</v>
      </c>
      <c r="F77" s="372">
        <f t="shared" si="6"/>
        <v>-264430525</v>
      </c>
      <c r="G77" s="362" t="e">
        <f t="shared" si="7"/>
        <v>#VALUE!</v>
      </c>
      <c r="H77" s="739"/>
      <c r="I77" s="825"/>
    </row>
    <row r="78" spans="1:9">
      <c r="A78" s="819"/>
      <c r="B78" s="228" t="s">
        <v>458</v>
      </c>
      <c r="C78" s="138" t="s">
        <v>436</v>
      </c>
      <c r="D78" s="139">
        <f t="shared" si="4"/>
        <v>-327510210</v>
      </c>
      <c r="E78" s="362" t="e">
        <f t="shared" si="5"/>
        <v>#VALUE!</v>
      </c>
      <c r="F78" s="372">
        <f t="shared" si="6"/>
        <v>-327510210</v>
      </c>
      <c r="G78" s="362" t="e">
        <f t="shared" si="7"/>
        <v>#VALUE!</v>
      </c>
      <c r="H78" s="739"/>
      <c r="I78" s="825"/>
    </row>
    <row r="79" spans="1:9">
      <c r="A79" s="819"/>
      <c r="B79" s="228" t="s">
        <v>424</v>
      </c>
      <c r="C79" s="138" t="s">
        <v>436</v>
      </c>
      <c r="D79" s="139">
        <f t="shared" si="4"/>
        <v>-321401370</v>
      </c>
      <c r="E79" s="362" t="e">
        <f t="shared" si="5"/>
        <v>#VALUE!</v>
      </c>
      <c r="F79" s="372">
        <f t="shared" si="6"/>
        <v>-321401370</v>
      </c>
      <c r="G79" s="362" t="e">
        <f t="shared" si="7"/>
        <v>#VALUE!</v>
      </c>
      <c r="H79" s="739"/>
      <c r="I79" s="825"/>
    </row>
    <row r="80" spans="1:9" ht="17">
      <c r="A80" s="819"/>
      <c r="B80" s="228" t="s">
        <v>472</v>
      </c>
      <c r="C80" s="138">
        <v>740000000</v>
      </c>
      <c r="D80" s="139">
        <f t="shared" si="4"/>
        <v>744489058</v>
      </c>
      <c r="E80" s="362">
        <f t="shared" si="5"/>
        <v>4489058</v>
      </c>
      <c r="F80" s="372">
        <f t="shared" si="6"/>
        <v>812489058</v>
      </c>
      <c r="G80" s="362">
        <f t="shared" si="7"/>
        <v>72489058</v>
      </c>
      <c r="H80" s="62">
        <f>(C80+(C63*34))/34</f>
        <v>32277968.882352941</v>
      </c>
      <c r="I80" s="751">
        <f>H80/F63</f>
        <v>0.93804036275364544</v>
      </c>
    </row>
    <row r="81" spans="1:11">
      <c r="A81" s="819"/>
      <c r="B81" s="228" t="s">
        <v>478</v>
      </c>
      <c r="C81" s="138" t="s">
        <v>436</v>
      </c>
      <c r="D81" s="139">
        <f t="shared" si="4"/>
        <v>-354310974</v>
      </c>
      <c r="E81" s="362" t="e">
        <f t="shared" si="5"/>
        <v>#VALUE!</v>
      </c>
      <c r="F81" s="372">
        <f t="shared" si="6"/>
        <v>-354310974</v>
      </c>
      <c r="G81" s="362" t="e">
        <f t="shared" si="7"/>
        <v>#VALUE!</v>
      </c>
      <c r="H81" s="739"/>
      <c r="I81" s="140"/>
    </row>
    <row r="82" spans="1:11">
      <c r="A82" s="819"/>
      <c r="B82" s="228" t="s">
        <v>435</v>
      </c>
      <c r="C82" s="138" t="s">
        <v>436</v>
      </c>
      <c r="D82" s="139">
        <f t="shared" si="4"/>
        <v>-346476592</v>
      </c>
      <c r="E82" s="362" t="e">
        <f t="shared" si="5"/>
        <v>#VALUE!</v>
      </c>
      <c r="F82" s="372">
        <f t="shared" si="6"/>
        <v>-346476592</v>
      </c>
      <c r="G82" s="362" t="e">
        <f t="shared" si="7"/>
        <v>#VALUE!</v>
      </c>
      <c r="H82" s="739"/>
      <c r="I82" s="140"/>
    </row>
    <row r="83" spans="1:11">
      <c r="A83" s="819"/>
      <c r="B83" s="228" t="s">
        <v>410</v>
      </c>
      <c r="C83" s="138">
        <v>1000000000</v>
      </c>
      <c r="D83" s="139">
        <f t="shared" si="4"/>
        <v>755458236</v>
      </c>
      <c r="E83" s="362">
        <f t="shared" si="5"/>
        <v>-244541764</v>
      </c>
      <c r="F83" s="372">
        <f t="shared" si="6"/>
        <v>833458236</v>
      </c>
      <c r="G83" s="362">
        <f t="shared" si="7"/>
        <v>-166541764</v>
      </c>
      <c r="H83" s="62">
        <f>(C83+(C66*34))/39</f>
        <v>34637317.538461536</v>
      </c>
      <c r="I83" s="140"/>
    </row>
    <row r="84" spans="1:11">
      <c r="A84" s="819"/>
      <c r="B84" s="228" t="s">
        <v>453</v>
      </c>
      <c r="C84" s="138">
        <v>1200000000</v>
      </c>
      <c r="D84" s="139">
        <f t="shared" si="4"/>
        <v>878631740</v>
      </c>
      <c r="E84" s="362">
        <f t="shared" si="5"/>
        <v>-321368260</v>
      </c>
      <c r="F84" s="372">
        <f t="shared" si="6"/>
        <v>970631740</v>
      </c>
      <c r="G84" s="362">
        <f t="shared" si="7"/>
        <v>-229368260</v>
      </c>
      <c r="H84" s="62">
        <f>(C84+(C67*34))/46</f>
        <v>33913837.826086953</v>
      </c>
      <c r="I84" s="140"/>
    </row>
    <row r="85" spans="1:11">
      <c r="A85" s="819"/>
      <c r="B85" s="228" t="s">
        <v>415</v>
      </c>
      <c r="C85" s="216" t="s">
        <v>436</v>
      </c>
      <c r="D85" s="139">
        <f t="shared" si="4"/>
        <v>-416350017</v>
      </c>
      <c r="E85" s="362" t="e">
        <f t="shared" si="5"/>
        <v>#VALUE!</v>
      </c>
      <c r="F85" s="372">
        <f t="shared" si="6"/>
        <v>-416350017</v>
      </c>
      <c r="G85" s="362" t="e">
        <f t="shared" si="7"/>
        <v>#VALUE!</v>
      </c>
      <c r="H85" s="62"/>
      <c r="I85" s="140"/>
    </row>
    <row r="86" spans="1:11">
      <c r="A86" s="819"/>
      <c r="B86" s="228" t="s">
        <v>432</v>
      </c>
      <c r="C86" s="216" t="s">
        <v>436</v>
      </c>
      <c r="D86" s="139">
        <f t="shared" si="4"/>
        <v>-414819168</v>
      </c>
      <c r="E86" s="362" t="e">
        <f t="shared" si="5"/>
        <v>#VALUE!</v>
      </c>
      <c r="F86" s="372">
        <f t="shared" si="6"/>
        <v>-414819168</v>
      </c>
      <c r="G86" s="362" t="e">
        <f t="shared" si="7"/>
        <v>#VALUE!</v>
      </c>
      <c r="H86" s="739"/>
      <c r="I86" s="140"/>
    </row>
    <row r="87" spans="1:11">
      <c r="A87" s="819"/>
      <c r="B87" s="228" t="s">
        <v>419</v>
      </c>
      <c r="C87" s="216" t="s">
        <v>436</v>
      </c>
      <c r="D87" s="139">
        <f t="shared" si="4"/>
        <v>-1043278704</v>
      </c>
      <c r="E87" s="362" t="e">
        <f t="shared" si="5"/>
        <v>#VALUE!</v>
      </c>
      <c r="F87" s="372">
        <f t="shared" si="6"/>
        <v>-1043278704</v>
      </c>
      <c r="G87" s="362" t="e">
        <f t="shared" si="7"/>
        <v>#VALUE!</v>
      </c>
      <c r="H87" s="739"/>
      <c r="I87" s="140"/>
    </row>
    <row r="88" spans="1:11">
      <c r="A88" s="819"/>
      <c r="B88" s="228" t="s">
        <v>409</v>
      </c>
      <c r="C88" s="216" t="s">
        <v>436</v>
      </c>
      <c r="D88" s="139">
        <f t="shared" si="4"/>
        <v>-1106160330</v>
      </c>
      <c r="E88" s="362" t="e">
        <f t="shared" si="5"/>
        <v>#VALUE!</v>
      </c>
      <c r="F88" s="372">
        <f t="shared" si="6"/>
        <v>-1106160330</v>
      </c>
      <c r="G88" s="362" t="e">
        <f t="shared" si="7"/>
        <v>#VALUE!</v>
      </c>
      <c r="H88" s="739"/>
      <c r="I88" s="140"/>
    </row>
    <row r="89" spans="1:11" ht="16.5" thickBot="1">
      <c r="A89" s="820"/>
      <c r="B89" s="229" t="s">
        <v>413</v>
      </c>
      <c r="C89" s="217" t="s">
        <v>436</v>
      </c>
      <c r="D89" s="179">
        <f t="shared" si="4"/>
        <v>-1109790715</v>
      </c>
      <c r="E89" s="363" t="e">
        <f t="shared" si="5"/>
        <v>#VALUE!</v>
      </c>
      <c r="F89" s="379">
        <f t="shared" si="6"/>
        <v>-1109790715</v>
      </c>
      <c r="G89" s="363" t="e">
        <f t="shared" si="7"/>
        <v>#VALUE!</v>
      </c>
      <c r="H89" s="740"/>
      <c r="I89" s="180"/>
    </row>
    <row r="90" spans="1:11" s="1" customFormat="1" ht="22.75" customHeight="1">
      <c r="A90" s="929" t="s">
        <v>598</v>
      </c>
      <c r="B90" s="741" t="s">
        <v>599</v>
      </c>
      <c r="C90" s="738" t="s">
        <v>857</v>
      </c>
      <c r="D90" s="930" t="s">
        <v>600</v>
      </c>
      <c r="E90" s="931"/>
      <c r="F90" s="931"/>
      <c r="G90" s="931"/>
      <c r="H90" s="932"/>
      <c r="I90" s="5"/>
      <c r="J90" s="5"/>
      <c r="K90" s="5"/>
    </row>
    <row r="91" spans="1:11" s="1" customFormat="1" ht="22.75" customHeight="1">
      <c r="A91" s="834"/>
      <c r="B91" s="488" t="s">
        <v>612</v>
      </c>
      <c r="C91" s="708"/>
      <c r="D91" s="491"/>
      <c r="H91" s="42"/>
      <c r="I91" s="509"/>
      <c r="J91" s="509"/>
      <c r="K91" s="509"/>
    </row>
    <row r="92" spans="1:11" s="1" customFormat="1" ht="22.75" customHeight="1">
      <c r="A92" s="834"/>
      <c r="B92" s="165" t="s">
        <v>596</v>
      </c>
      <c r="C92" s="708">
        <v>1727</v>
      </c>
      <c r="D92" s="492"/>
      <c r="H92" s="42"/>
      <c r="I92" s="509"/>
      <c r="J92" s="509"/>
      <c r="K92" s="509"/>
    </row>
    <row r="93" spans="1:11" s="1" customFormat="1" ht="22.75" customHeight="1">
      <c r="A93" s="834"/>
      <c r="B93" s="165" t="s">
        <v>597</v>
      </c>
      <c r="C93" s="626">
        <v>1800</v>
      </c>
      <c r="D93" s="492"/>
      <c r="H93" s="42"/>
    </row>
    <row r="94" spans="1:11" s="1" customFormat="1" ht="22.75" customHeight="1">
      <c r="A94" s="835"/>
      <c r="B94" s="165" t="s">
        <v>601</v>
      </c>
      <c r="C94" s="627">
        <v>2036</v>
      </c>
      <c r="D94" s="492"/>
      <c r="H94" s="42"/>
    </row>
    <row r="95" spans="1:11" s="1" customFormat="1" ht="22.75" customHeight="1">
      <c r="A95" s="835"/>
      <c r="B95" s="165" t="s">
        <v>602</v>
      </c>
      <c r="C95" s="627">
        <v>2200</v>
      </c>
      <c r="D95" s="492"/>
      <c r="H95" s="42"/>
    </row>
    <row r="96" spans="1:11" s="1" customFormat="1" ht="22.75" customHeight="1">
      <c r="A96" s="835"/>
      <c r="B96" s="165" t="s">
        <v>603</v>
      </c>
      <c r="C96" s="627">
        <v>2581</v>
      </c>
      <c r="D96" s="492"/>
      <c r="H96" s="42"/>
    </row>
    <row r="97" spans="1:8" s="1" customFormat="1" ht="22.75" customHeight="1">
      <c r="A97" s="835"/>
      <c r="B97" s="165" t="s">
        <v>604</v>
      </c>
      <c r="C97" s="627">
        <v>3228</v>
      </c>
      <c r="D97" s="492"/>
      <c r="H97" s="42"/>
    </row>
    <row r="98" spans="1:8" s="1" customFormat="1" ht="22.75" customHeight="1">
      <c r="A98" s="835"/>
      <c r="B98" s="165" t="s">
        <v>1176</v>
      </c>
      <c r="C98" s="627">
        <f>H80/10000</f>
        <v>3227.7968882352939</v>
      </c>
      <c r="D98" s="492"/>
      <c r="H98" s="42"/>
    </row>
    <row r="99" spans="1:8" s="1" customFormat="1" ht="22.75" customHeight="1">
      <c r="A99" s="835"/>
      <c r="B99" s="165" t="s">
        <v>1177</v>
      </c>
      <c r="C99" s="627"/>
      <c r="D99" s="492"/>
      <c r="H99" s="42"/>
    </row>
    <row r="100" spans="1:8" s="1" customFormat="1" ht="22.75" customHeight="1">
      <c r="A100" s="835"/>
      <c r="B100" s="165" t="s">
        <v>1169</v>
      </c>
      <c r="C100" s="627"/>
      <c r="D100" s="492"/>
      <c r="H100" s="42"/>
    </row>
    <row r="101" spans="1:8" s="1" customFormat="1" ht="22.75" customHeight="1">
      <c r="A101" s="835"/>
      <c r="B101" s="165" t="s">
        <v>1170</v>
      </c>
      <c r="C101" s="627"/>
      <c r="D101" s="492"/>
      <c r="H101" s="42"/>
    </row>
    <row r="102" spans="1:8" s="1" customFormat="1" ht="22.75" customHeight="1">
      <c r="A102" s="835"/>
      <c r="B102" s="165" t="s">
        <v>1171</v>
      </c>
      <c r="C102" s="627"/>
      <c r="D102" s="492"/>
      <c r="H102" s="42"/>
    </row>
    <row r="103" spans="1:8" s="1" customFormat="1" ht="22.75" customHeight="1" thickBot="1">
      <c r="A103" s="836"/>
      <c r="B103" s="490" t="s">
        <v>614</v>
      </c>
      <c r="C103" s="628"/>
      <c r="D103" s="493"/>
      <c r="E103" s="486"/>
      <c r="F103" s="486"/>
      <c r="G103" s="486"/>
      <c r="H103" s="487"/>
    </row>
    <row r="104" spans="1:8" s="1" customFormat="1" ht="3.5" customHeight="1" thickBot="1">
      <c r="A104" s="714"/>
      <c r="B104" s="589"/>
      <c r="C104" s="590"/>
      <c r="D104" s="591"/>
      <c r="H104" s="42"/>
    </row>
    <row r="105" spans="1:8" s="1" customFormat="1">
      <c r="A105" s="826" t="s">
        <v>650</v>
      </c>
      <c r="B105" s="721"/>
      <c r="C105" s="565"/>
      <c r="D105" s="566"/>
      <c r="E105" s="559"/>
      <c r="F105" s="559"/>
      <c r="G105" s="559"/>
      <c r="H105" s="567"/>
    </row>
    <row r="106" spans="1:8" s="1" customFormat="1">
      <c r="A106" s="827"/>
      <c r="B106" s="206"/>
      <c r="C106" s="78"/>
      <c r="D106" s="79"/>
      <c r="E106" s="76"/>
      <c r="F106" s="76"/>
      <c r="G106" s="76"/>
      <c r="H106" s="114"/>
    </row>
    <row r="107" spans="1:8" s="1" customFormat="1">
      <c r="A107" s="827"/>
      <c r="B107" s="206"/>
      <c r="C107" s="78"/>
      <c r="D107" s="79"/>
      <c r="E107" s="76"/>
      <c r="F107" s="76"/>
      <c r="G107" s="76"/>
      <c r="H107" s="114"/>
    </row>
    <row r="108" spans="1:8" s="1" customFormat="1">
      <c r="A108" s="827"/>
      <c r="B108" s="206"/>
      <c r="C108" s="78"/>
      <c r="D108" s="79"/>
      <c r="E108" s="76"/>
      <c r="F108" s="76"/>
      <c r="G108" s="76"/>
      <c r="H108" s="114"/>
    </row>
    <row r="109" spans="1:8" s="1" customFormat="1">
      <c r="A109" s="827"/>
      <c r="B109" s="206"/>
      <c r="C109" s="78"/>
      <c r="D109" s="79"/>
      <c r="E109" s="76"/>
      <c r="F109" s="76"/>
      <c r="G109" s="76"/>
      <c r="H109" s="114"/>
    </row>
    <row r="110" spans="1:8" s="1" customFormat="1">
      <c r="A110" s="827"/>
      <c r="B110" s="206"/>
      <c r="C110" s="78"/>
      <c r="D110" s="79"/>
      <c r="E110" s="76"/>
      <c r="F110" s="76"/>
      <c r="G110" s="76"/>
      <c r="H110" s="114"/>
    </row>
    <row r="111" spans="1:8" s="1" customFormat="1">
      <c r="A111" s="827"/>
      <c r="B111" s="206"/>
      <c r="C111" s="78"/>
      <c r="D111" s="79"/>
      <c r="E111" s="76"/>
      <c r="F111" s="76"/>
      <c r="G111" s="76"/>
      <c r="H111" s="114"/>
    </row>
    <row r="112" spans="1:8" s="1" customFormat="1">
      <c r="A112" s="827"/>
      <c r="B112" s="206"/>
      <c r="C112" s="78"/>
      <c r="D112" s="79"/>
      <c r="E112" s="76"/>
      <c r="F112" s="76"/>
      <c r="G112" s="76"/>
      <c r="H112" s="114"/>
    </row>
    <row r="113" spans="1:8" s="1" customFormat="1" ht="16.5" thickBot="1">
      <c r="A113" s="828"/>
      <c r="B113" s="568"/>
      <c r="C113" s="569"/>
      <c r="D113" s="570"/>
      <c r="E113" s="571"/>
      <c r="F113" s="571"/>
      <c r="G113" s="571"/>
      <c r="H113" s="572"/>
    </row>
  </sheetData>
  <mergeCells count="21">
    <mergeCell ref="A1:H1"/>
    <mergeCell ref="A2:A18"/>
    <mergeCell ref="D7:E7"/>
    <mergeCell ref="G7:H7"/>
    <mergeCell ref="C15:D15"/>
    <mergeCell ref="B17:B18"/>
    <mergeCell ref="C5:D5"/>
    <mergeCell ref="C6:D6"/>
    <mergeCell ref="F10:H10"/>
    <mergeCell ref="C3:H3"/>
    <mergeCell ref="C2:H2"/>
    <mergeCell ref="A20:A28"/>
    <mergeCell ref="A30:A55"/>
    <mergeCell ref="A57:A72"/>
    <mergeCell ref="F14:G14"/>
    <mergeCell ref="F15:H15"/>
    <mergeCell ref="A90:A103"/>
    <mergeCell ref="D90:H90"/>
    <mergeCell ref="A105:A113"/>
    <mergeCell ref="I74:I79"/>
    <mergeCell ref="A74:A89"/>
  </mergeCells>
  <phoneticPr fontId="16" type="noConversion"/>
  <pageMargins left="0.69972223043441772" right="0.69972223043441772" top="0.75" bottom="0.75" header="0.30000001192092896" footer="0.30000001192092896"/>
  <pageSetup paperSize="9" scale="53" orientation="portrait" horizontalDpi="4294967293" verticalDpi="4294967293" r:id="rId1"/>
  <rowBreaks count="1" manualBreakCount="1">
    <brk id="89" max="1048575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tabColor rgb="FFFF0000"/>
  </sheetPr>
  <dimension ref="A1:L82"/>
  <sheetViews>
    <sheetView showGridLines="0" topLeftCell="A58" zoomScale="85" zoomScaleNormal="85" zoomScaleSheetLayoutView="85" workbookViewId="0">
      <selection activeCell="C62" sqref="C62"/>
    </sheetView>
  </sheetViews>
  <sheetFormatPr defaultColWidth="13.4140625" defaultRowHeight="16"/>
  <cols>
    <col min="1" max="1" width="6.4140625" style="344" customWidth="1"/>
    <col min="2" max="2" width="18.4140625" style="77" customWidth="1"/>
    <col min="3" max="3" width="26.08203125" style="78" bestFit="1" customWidth="1"/>
    <col min="4" max="4" width="18.25" style="79" bestFit="1" customWidth="1"/>
    <col min="5" max="5" width="13.9140625" style="76" bestFit="1" customWidth="1"/>
    <col min="6" max="6" width="15.75" style="76" bestFit="1" customWidth="1"/>
    <col min="7" max="7" width="14" style="76" bestFit="1" customWidth="1"/>
    <col min="8" max="8" width="18.5" style="76" customWidth="1"/>
    <col min="9" max="9" width="26.33203125" style="76" bestFit="1" customWidth="1"/>
    <col min="10" max="11" width="13.4140625" style="76" bestFit="1" customWidth="1"/>
    <col min="12" max="16384" width="13.4140625" style="76"/>
  </cols>
  <sheetData>
    <row r="1" spans="1:8" ht="31.5" customHeight="1">
      <c r="A1" s="900" t="s">
        <v>157</v>
      </c>
      <c r="B1" s="900"/>
      <c r="C1" s="900"/>
      <c r="D1" s="900"/>
      <c r="E1" s="900"/>
      <c r="F1" s="900"/>
      <c r="G1" s="900"/>
      <c r="H1" s="900"/>
    </row>
    <row r="2" spans="1:8" ht="15.5" customHeight="1">
      <c r="A2" s="821" t="s">
        <v>112</v>
      </c>
      <c r="B2" s="6" t="s">
        <v>420</v>
      </c>
      <c r="C2" s="852" t="s">
        <v>69</v>
      </c>
      <c r="D2" s="852"/>
      <c r="E2" s="852"/>
      <c r="F2" s="852"/>
      <c r="G2" s="852"/>
      <c r="H2" s="852"/>
    </row>
    <row r="3" spans="1:8" ht="15" customHeight="1">
      <c r="A3" s="829"/>
      <c r="B3" s="11" t="s">
        <v>471</v>
      </c>
      <c r="C3" s="851" t="s">
        <v>1123</v>
      </c>
      <c r="D3" s="851"/>
      <c r="E3" s="851"/>
      <c r="F3" s="851"/>
      <c r="G3" s="851"/>
      <c r="H3" s="851"/>
    </row>
    <row r="4" spans="1:8">
      <c r="A4" s="829"/>
      <c r="B4" s="11" t="s">
        <v>407</v>
      </c>
      <c r="C4" s="81" t="s">
        <v>12</v>
      </c>
      <c r="D4" s="82"/>
      <c r="E4" s="83"/>
      <c r="F4" s="83"/>
      <c r="G4" s="83"/>
      <c r="H4" s="84"/>
    </row>
    <row r="5" spans="1:8">
      <c r="A5" s="821"/>
      <c r="B5" s="11" t="s">
        <v>58</v>
      </c>
      <c r="C5" s="845" t="s">
        <v>263</v>
      </c>
      <c r="D5" s="846"/>
      <c r="E5" s="85"/>
      <c r="F5" s="85"/>
      <c r="G5" s="85"/>
      <c r="H5" s="86"/>
    </row>
    <row r="6" spans="1:8">
      <c r="A6" s="829"/>
      <c r="B6" s="11" t="s">
        <v>53</v>
      </c>
      <c r="C6" s="845">
        <v>91103.1</v>
      </c>
      <c r="D6" s="847"/>
      <c r="E6" s="85"/>
      <c r="F6" s="85"/>
      <c r="G6" s="85"/>
      <c r="H6" s="86"/>
    </row>
    <row r="7" spans="1:8">
      <c r="A7" s="838"/>
      <c r="B7" s="16" t="s">
        <v>99</v>
      </c>
      <c r="C7" s="87">
        <v>126834.1</v>
      </c>
      <c r="D7" s="840" t="s">
        <v>231</v>
      </c>
      <c r="E7" s="841"/>
      <c r="F7" s="356">
        <f>C7*0.3025/C9</f>
        <v>38.367315249999997</v>
      </c>
      <c r="G7" s="842" t="s">
        <v>524</v>
      </c>
      <c r="H7" s="843"/>
    </row>
    <row r="8" spans="1:8">
      <c r="A8" s="838"/>
      <c r="B8" s="16" t="s">
        <v>425</v>
      </c>
      <c r="C8" s="87">
        <v>27</v>
      </c>
      <c r="D8" s="88"/>
      <c r="E8" s="83"/>
      <c r="F8" s="83"/>
      <c r="G8" s="83"/>
      <c r="H8" s="84"/>
    </row>
    <row r="9" spans="1:8">
      <c r="A9" s="838"/>
      <c r="B9" s="16" t="s">
        <v>335</v>
      </c>
      <c r="C9" s="87">
        <v>1000</v>
      </c>
      <c r="D9" s="89" t="s">
        <v>39</v>
      </c>
      <c r="E9" s="90">
        <f>C9/C11</f>
        <v>0.43936731107205623</v>
      </c>
      <c r="F9" s="88"/>
      <c r="G9" s="83"/>
      <c r="H9" s="84"/>
    </row>
    <row r="10" spans="1:8">
      <c r="A10" s="838"/>
      <c r="B10" s="16" t="s">
        <v>54</v>
      </c>
      <c r="C10" s="357">
        <f>C11-C9</f>
        <v>1276</v>
      </c>
      <c r="D10" s="89" t="s">
        <v>145</v>
      </c>
      <c r="E10" s="358">
        <f>C10/C11</f>
        <v>0.56063268892794371</v>
      </c>
      <c r="F10" s="848" t="s">
        <v>29</v>
      </c>
      <c r="G10" s="849"/>
      <c r="H10" s="850"/>
    </row>
    <row r="11" spans="1:8">
      <c r="A11" s="838"/>
      <c r="B11" s="16" t="s">
        <v>150</v>
      </c>
      <c r="C11" s="87">
        <v>2276</v>
      </c>
      <c r="D11" s="91" t="s">
        <v>321</v>
      </c>
      <c r="E11" s="83"/>
      <c r="F11" s="83"/>
      <c r="G11" s="83"/>
      <c r="H11" s="84"/>
    </row>
    <row r="12" spans="1:8">
      <c r="A12" s="838"/>
      <c r="B12" s="16" t="s">
        <v>427</v>
      </c>
      <c r="C12" s="92">
        <v>0.17559999999999998</v>
      </c>
      <c r="D12" s="93" t="s">
        <v>84</v>
      </c>
      <c r="E12" s="94">
        <f>C7*C12</f>
        <v>22272.067959999997</v>
      </c>
      <c r="F12" s="95" t="s">
        <v>41</v>
      </c>
      <c r="G12" s="96">
        <f>E13/E12</f>
        <v>14.962984054669707</v>
      </c>
      <c r="H12" s="97"/>
    </row>
    <row r="13" spans="1:8">
      <c r="A13" s="838"/>
      <c r="B13" s="16" t="s">
        <v>466</v>
      </c>
      <c r="C13" s="92">
        <v>2.6274999999999999</v>
      </c>
      <c r="D13" s="93" t="s">
        <v>91</v>
      </c>
      <c r="E13" s="98">
        <f>C7*C13</f>
        <v>333256.59775000002</v>
      </c>
      <c r="F13" s="95" t="s">
        <v>209</v>
      </c>
      <c r="G13" s="236">
        <f>E13*76%</f>
        <v>253275.01429000002</v>
      </c>
      <c r="H13" s="99"/>
    </row>
    <row r="14" spans="1:8">
      <c r="A14" s="838"/>
      <c r="B14" s="16" t="s">
        <v>208</v>
      </c>
      <c r="C14" s="100" t="s">
        <v>217</v>
      </c>
      <c r="D14" s="88"/>
      <c r="E14" s="83"/>
      <c r="F14" s="840" t="s">
        <v>234</v>
      </c>
      <c r="G14" s="841"/>
      <c r="H14" s="237">
        <f>G13/C41</f>
        <v>1.5151651967575976</v>
      </c>
    </row>
    <row r="15" spans="1:8" ht="15" customHeight="1">
      <c r="A15" s="838"/>
      <c r="B15" s="16" t="s">
        <v>441</v>
      </c>
      <c r="C15" s="101" t="s">
        <v>223</v>
      </c>
      <c r="D15" s="102"/>
      <c r="E15" s="103"/>
      <c r="F15" s="848" t="s">
        <v>392</v>
      </c>
      <c r="G15" s="849"/>
      <c r="H15" s="850"/>
    </row>
    <row r="16" spans="1:8">
      <c r="A16" s="838"/>
      <c r="B16" s="32" t="s">
        <v>87</v>
      </c>
      <c r="C16" s="100">
        <v>1.03</v>
      </c>
      <c r="D16" s="104"/>
      <c r="E16" s="83"/>
      <c r="F16" s="83"/>
      <c r="G16" s="83"/>
      <c r="H16" s="84"/>
    </row>
    <row r="17" spans="1:8" ht="15" customHeight="1">
      <c r="A17" s="821"/>
      <c r="B17" s="844" t="s">
        <v>470</v>
      </c>
      <c r="C17" s="105"/>
      <c r="D17" s="105"/>
      <c r="E17" s="106"/>
      <c r="F17" s="106"/>
      <c r="G17" s="106"/>
      <c r="H17" s="107"/>
    </row>
    <row r="18" spans="1:8">
      <c r="A18" s="839"/>
      <c r="B18" s="844"/>
      <c r="C18" s="108"/>
      <c r="D18" s="109"/>
      <c r="E18" s="110"/>
      <c r="F18" s="110"/>
      <c r="G18" s="110"/>
      <c r="H18" s="111"/>
    </row>
    <row r="19" spans="1:8" ht="5.25" customHeight="1">
      <c r="A19" s="342"/>
      <c r="B19" s="40"/>
      <c r="C19" s="113"/>
      <c r="D19" s="113"/>
      <c r="H19" s="114"/>
    </row>
    <row r="20" spans="1:8">
      <c r="A20" s="821" t="s">
        <v>49</v>
      </c>
      <c r="B20" s="43" t="s">
        <v>174</v>
      </c>
      <c r="C20" s="115" t="s">
        <v>343</v>
      </c>
      <c r="D20" s="116"/>
      <c r="E20" s="117"/>
      <c r="F20" s="117"/>
      <c r="G20" s="117"/>
      <c r="H20" s="118"/>
    </row>
    <row r="21" spans="1:8">
      <c r="A21" s="822"/>
      <c r="B21" s="25" t="s">
        <v>65</v>
      </c>
      <c r="C21" s="119" t="s">
        <v>378</v>
      </c>
      <c r="D21" s="120"/>
      <c r="E21" s="83"/>
      <c r="F21" s="83"/>
      <c r="G21" s="83"/>
      <c r="H21" s="84"/>
    </row>
    <row r="22" spans="1:8">
      <c r="A22" s="821"/>
      <c r="B22" s="25" t="s">
        <v>95</v>
      </c>
      <c r="C22" s="93" t="s">
        <v>285</v>
      </c>
      <c r="D22" s="120"/>
      <c r="E22" s="83"/>
      <c r="F22" s="83"/>
      <c r="G22" s="83"/>
      <c r="H22" s="84"/>
    </row>
    <row r="23" spans="1:8">
      <c r="A23" s="822"/>
      <c r="B23" s="25" t="s">
        <v>369</v>
      </c>
      <c r="C23" s="93" t="s">
        <v>380</v>
      </c>
      <c r="D23" s="120"/>
      <c r="E23" s="83"/>
      <c r="F23" s="83"/>
      <c r="G23" s="83"/>
      <c r="H23" s="84"/>
    </row>
    <row r="24" spans="1:8">
      <c r="A24" s="821"/>
      <c r="B24" s="25" t="s">
        <v>349</v>
      </c>
      <c r="C24" s="93" t="s">
        <v>373</v>
      </c>
      <c r="D24" s="120"/>
      <c r="E24" s="83"/>
      <c r="F24" s="83"/>
      <c r="G24" s="83"/>
      <c r="H24" s="84"/>
    </row>
    <row r="25" spans="1:8">
      <c r="A25" s="822"/>
      <c r="B25" s="218" t="s">
        <v>105</v>
      </c>
      <c r="C25" s="121" t="s">
        <v>242</v>
      </c>
      <c r="D25" s="91"/>
      <c r="E25" s="83"/>
      <c r="F25" s="83"/>
      <c r="G25" s="83"/>
      <c r="H25" s="84"/>
    </row>
    <row r="26" spans="1:8">
      <c r="A26" s="822"/>
      <c r="B26" s="25" t="s">
        <v>445</v>
      </c>
      <c r="C26" s="93" t="s">
        <v>284</v>
      </c>
      <c r="D26" s="91"/>
      <c r="E26" s="83"/>
      <c r="F26" s="83"/>
      <c r="G26" s="83"/>
      <c r="H26" s="84"/>
    </row>
    <row r="27" spans="1:8">
      <c r="A27" s="822"/>
      <c r="B27" s="25" t="s">
        <v>167</v>
      </c>
      <c r="C27" s="93" t="s">
        <v>359</v>
      </c>
      <c r="D27" s="91"/>
      <c r="E27" s="83"/>
      <c r="F27" s="83"/>
      <c r="G27" s="83"/>
      <c r="H27" s="84"/>
    </row>
    <row r="28" spans="1:8">
      <c r="A28" s="823"/>
      <c r="B28" s="25" t="s">
        <v>447</v>
      </c>
      <c r="C28" s="122" t="s">
        <v>352</v>
      </c>
      <c r="D28" s="123"/>
      <c r="E28" s="110"/>
      <c r="F28" s="110"/>
      <c r="G28" s="110"/>
      <c r="H28" s="111"/>
    </row>
    <row r="29" spans="1:8" ht="5.25" customHeight="1" thickBot="1">
      <c r="A29" s="342"/>
      <c r="B29" s="40"/>
      <c r="C29" s="3"/>
      <c r="H29" s="114"/>
    </row>
    <row r="30" spans="1:8" s="80" customFormat="1" ht="13.5" customHeight="1">
      <c r="A30" s="821" t="s">
        <v>160</v>
      </c>
      <c r="B30" s="345" t="s">
        <v>101</v>
      </c>
      <c r="C30" s="346" t="s">
        <v>48</v>
      </c>
      <c r="D30" s="347" t="s">
        <v>125</v>
      </c>
      <c r="E30" s="347" t="s">
        <v>434</v>
      </c>
      <c r="F30" s="347" t="s">
        <v>414</v>
      </c>
      <c r="G30" s="348" t="s">
        <v>454</v>
      </c>
      <c r="H30" s="349" t="s">
        <v>470</v>
      </c>
    </row>
    <row r="31" spans="1:8">
      <c r="A31" s="822"/>
      <c r="B31" s="129" t="s">
        <v>438</v>
      </c>
      <c r="C31" s="130">
        <f>39*D31</f>
        <v>4485</v>
      </c>
      <c r="D31" s="87">
        <v>115</v>
      </c>
      <c r="E31" s="87" t="s">
        <v>436</v>
      </c>
      <c r="F31" s="87" t="s">
        <v>436</v>
      </c>
      <c r="G31" s="131">
        <f t="shared" ref="G31:G40" si="0">D31/$D$41</f>
        <v>5.0527240773286471E-2</v>
      </c>
      <c r="H31" s="132" t="s">
        <v>449</v>
      </c>
    </row>
    <row r="32" spans="1:8" ht="16.5" thickBot="1">
      <c r="A32" s="829"/>
      <c r="B32" s="129" t="s">
        <v>443</v>
      </c>
      <c r="C32" s="130">
        <f>46*D32</f>
        <v>1426</v>
      </c>
      <c r="D32" s="87">
        <v>31</v>
      </c>
      <c r="E32" s="87">
        <f t="shared" ref="E32:E40" si="1">D32-F32</f>
        <v>20</v>
      </c>
      <c r="F32" s="87">
        <v>11</v>
      </c>
      <c r="G32" s="131">
        <f t="shared" si="0"/>
        <v>1.3620386643233744E-2</v>
      </c>
      <c r="H32" s="132"/>
    </row>
    <row r="33" spans="1:8">
      <c r="A33" s="821"/>
      <c r="B33" s="129" t="s">
        <v>416</v>
      </c>
      <c r="C33" s="130">
        <f>59*D33</f>
        <v>24485</v>
      </c>
      <c r="D33" s="87">
        <v>415</v>
      </c>
      <c r="E33" s="87">
        <f t="shared" si="1"/>
        <v>217</v>
      </c>
      <c r="F33" s="87">
        <v>198</v>
      </c>
      <c r="G33" s="131">
        <f t="shared" si="0"/>
        <v>0.18233743409490333</v>
      </c>
      <c r="H33" s="132"/>
    </row>
    <row r="34" spans="1:8">
      <c r="A34" s="822"/>
      <c r="B34" s="16" t="s">
        <v>458</v>
      </c>
      <c r="C34" s="130">
        <f>72*D34</f>
        <v>28224</v>
      </c>
      <c r="D34" s="87">
        <v>392</v>
      </c>
      <c r="E34" s="87">
        <f t="shared" si="1"/>
        <v>296</v>
      </c>
      <c r="F34" s="87">
        <v>96</v>
      </c>
      <c r="G34" s="131">
        <f t="shared" si="0"/>
        <v>0.17223198594024605</v>
      </c>
      <c r="H34" s="132"/>
    </row>
    <row r="35" spans="1:8" ht="16.5" thickBot="1">
      <c r="A35" s="822"/>
      <c r="B35" s="129" t="s">
        <v>424</v>
      </c>
      <c r="C35" s="130">
        <f>72*D35</f>
        <v>19728</v>
      </c>
      <c r="D35" s="87">
        <v>274</v>
      </c>
      <c r="E35" s="87">
        <f t="shared" si="1"/>
        <v>260</v>
      </c>
      <c r="F35" s="87">
        <v>14</v>
      </c>
      <c r="G35" s="131">
        <f t="shared" si="0"/>
        <v>0.12038664323374342</v>
      </c>
      <c r="H35" s="132"/>
    </row>
    <row r="36" spans="1:8">
      <c r="A36" s="821"/>
      <c r="B36" s="129" t="s">
        <v>442</v>
      </c>
      <c r="C36" s="130">
        <f>72*D36</f>
        <v>7344</v>
      </c>
      <c r="D36" s="87">
        <v>102</v>
      </c>
      <c r="E36" s="87">
        <f t="shared" si="1"/>
        <v>97</v>
      </c>
      <c r="F36" s="87">
        <v>5</v>
      </c>
      <c r="G36" s="131">
        <f t="shared" si="0"/>
        <v>4.4815465729349739E-2</v>
      </c>
      <c r="H36" s="132"/>
    </row>
    <row r="37" spans="1:8">
      <c r="A37" s="829"/>
      <c r="B37" s="129" t="s">
        <v>472</v>
      </c>
      <c r="C37" s="130">
        <f>84*D37</f>
        <v>55692</v>
      </c>
      <c r="D37" s="133">
        <v>663</v>
      </c>
      <c r="E37" s="87">
        <f t="shared" si="1"/>
        <v>166</v>
      </c>
      <c r="F37" s="133">
        <v>497</v>
      </c>
      <c r="G37" s="131">
        <f t="shared" si="0"/>
        <v>0.29130052724077327</v>
      </c>
      <c r="H37" s="134"/>
    </row>
    <row r="38" spans="1:8">
      <c r="A38" s="829"/>
      <c r="B38" s="129" t="s">
        <v>478</v>
      </c>
      <c r="C38" s="130">
        <f>84*D38</f>
        <v>9912</v>
      </c>
      <c r="D38" s="133">
        <v>118</v>
      </c>
      <c r="E38" s="87">
        <f t="shared" si="1"/>
        <v>87</v>
      </c>
      <c r="F38" s="133">
        <v>31</v>
      </c>
      <c r="G38" s="131">
        <f t="shared" si="0"/>
        <v>5.1845342706502637E-2</v>
      </c>
      <c r="H38" s="134"/>
    </row>
    <row r="39" spans="1:8">
      <c r="A39" s="829"/>
      <c r="B39" s="129" t="s">
        <v>435</v>
      </c>
      <c r="C39" s="130">
        <f>84*D39</f>
        <v>3864</v>
      </c>
      <c r="D39" s="133">
        <v>46</v>
      </c>
      <c r="E39" s="87">
        <f t="shared" si="1"/>
        <v>17</v>
      </c>
      <c r="F39" s="133">
        <v>29</v>
      </c>
      <c r="G39" s="131">
        <f t="shared" si="0"/>
        <v>2.0210896309314587E-2</v>
      </c>
      <c r="H39" s="134"/>
    </row>
    <row r="40" spans="1:8">
      <c r="A40" s="829"/>
      <c r="B40" s="129" t="s">
        <v>457</v>
      </c>
      <c r="C40" s="130">
        <f>100*D40</f>
        <v>12000</v>
      </c>
      <c r="D40" s="133">
        <v>120</v>
      </c>
      <c r="E40" s="220">
        <f t="shared" si="1"/>
        <v>0</v>
      </c>
      <c r="F40" s="133">
        <v>120</v>
      </c>
      <c r="G40" s="131">
        <f t="shared" si="0"/>
        <v>5.272407732864675E-2</v>
      </c>
      <c r="H40" s="134"/>
    </row>
    <row r="41" spans="1:8" ht="16.5" thickBot="1">
      <c r="A41" s="823"/>
      <c r="B41" s="164" t="s">
        <v>462</v>
      </c>
      <c r="C41" s="57">
        <f>SUM(C31:C40)</f>
        <v>167160</v>
      </c>
      <c r="D41" s="57">
        <f>SUM(D31:D40)</f>
        <v>2276</v>
      </c>
      <c r="E41" s="57">
        <f>SUM(E31:E40)</f>
        <v>1160</v>
      </c>
      <c r="F41" s="57">
        <f>SUM(F31:F40)</f>
        <v>1001</v>
      </c>
      <c r="G41" s="135">
        <f>SUM(G31:G40)</f>
        <v>0.99999999999999989</v>
      </c>
      <c r="H41" s="136">
        <f>SUM(H31:H36)</f>
        <v>0</v>
      </c>
    </row>
    <row r="42" spans="1:8" ht="6" customHeight="1" thickBot="1">
      <c r="A42" s="342"/>
      <c r="B42" s="40"/>
      <c r="C42" s="3"/>
      <c r="H42" s="114"/>
    </row>
    <row r="43" spans="1:8" s="77" customFormat="1">
      <c r="A43" s="830" t="s">
        <v>33</v>
      </c>
      <c r="B43" s="345" t="s">
        <v>451</v>
      </c>
      <c r="C43" s="347" t="s">
        <v>901</v>
      </c>
      <c r="D43" s="347" t="s">
        <v>902</v>
      </c>
      <c r="E43" s="347" t="s">
        <v>43</v>
      </c>
      <c r="F43" s="347" t="s">
        <v>903</v>
      </c>
      <c r="G43" s="350" t="s">
        <v>172</v>
      </c>
      <c r="H43" s="351" t="s">
        <v>470</v>
      </c>
    </row>
    <row r="44" spans="1:8" ht="16.5" customHeight="1">
      <c r="A44" s="831"/>
      <c r="B44" s="129" t="s">
        <v>438</v>
      </c>
      <c r="C44" s="138" t="s">
        <v>436</v>
      </c>
      <c r="D44" s="139" t="s">
        <v>436</v>
      </c>
      <c r="E44" s="354" t="e">
        <f>(D44-C44)*17</f>
        <v>#VALUE!</v>
      </c>
      <c r="F44" s="139" t="s">
        <v>436</v>
      </c>
      <c r="G44" s="354" t="e">
        <f>(F44-C44)*17</f>
        <v>#VALUE!</v>
      </c>
      <c r="H44" s="140" t="s">
        <v>449</v>
      </c>
    </row>
    <row r="45" spans="1:8" ht="16.5" customHeight="1">
      <c r="A45" s="832"/>
      <c r="B45" s="129" t="s">
        <v>443</v>
      </c>
      <c r="C45" s="138">
        <v>10173000</v>
      </c>
      <c r="D45" s="139"/>
      <c r="E45" s="354">
        <f>(D45-C45)*21</f>
        <v>-213633000</v>
      </c>
      <c r="F45" s="139" t="s">
        <v>436</v>
      </c>
      <c r="G45" s="354" t="e">
        <f>(F45-C45)*21</f>
        <v>#VALUE!</v>
      </c>
      <c r="H45" s="140"/>
    </row>
    <row r="46" spans="1:8" ht="16.5" customHeight="1">
      <c r="A46" s="830"/>
      <c r="B46" s="129" t="s">
        <v>416</v>
      </c>
      <c r="C46" s="138">
        <v>10335000</v>
      </c>
      <c r="D46" s="139"/>
      <c r="E46" s="354">
        <f>(D46-C46)*25</f>
        <v>-258375000</v>
      </c>
      <c r="F46" s="139" t="s">
        <v>436</v>
      </c>
      <c r="G46" s="354" t="e">
        <f>(F46-C46)*25</f>
        <v>#VALUE!</v>
      </c>
      <c r="H46" s="140"/>
    </row>
    <row r="47" spans="1:8" ht="16.5" customHeight="1">
      <c r="A47" s="831"/>
      <c r="B47" s="16" t="s">
        <v>458</v>
      </c>
      <c r="C47" s="138">
        <v>10321000</v>
      </c>
      <c r="D47" s="139"/>
      <c r="E47" s="354">
        <f>(D47-C47)*30</f>
        <v>-309630000</v>
      </c>
      <c r="F47" s="139" t="s">
        <v>436</v>
      </c>
      <c r="G47" s="354" t="e">
        <f>(F47-C47)*30</f>
        <v>#VALUE!</v>
      </c>
      <c r="H47" s="140"/>
    </row>
    <row r="48" spans="1:8" ht="16.5" customHeight="1">
      <c r="A48" s="831"/>
      <c r="B48" s="129" t="s">
        <v>424</v>
      </c>
      <c r="C48" s="138">
        <v>10192000</v>
      </c>
      <c r="D48" s="139"/>
      <c r="E48" s="354">
        <f>(D48-C48)*30</f>
        <v>-305760000</v>
      </c>
      <c r="F48" s="139" t="s">
        <v>436</v>
      </c>
      <c r="G48" s="354" t="e">
        <f>(F48-C48)*30</f>
        <v>#VALUE!</v>
      </c>
      <c r="H48" s="140"/>
    </row>
    <row r="49" spans="1:9" ht="16.5" customHeight="1">
      <c r="A49" s="831"/>
      <c r="B49" s="129" t="s">
        <v>442</v>
      </c>
      <c r="C49" s="138">
        <v>9944000</v>
      </c>
      <c r="D49" s="139"/>
      <c r="E49" s="354">
        <f>(D49-C49)*30</f>
        <v>-298320000</v>
      </c>
      <c r="F49" s="139" t="s">
        <v>436</v>
      </c>
      <c r="G49" s="354" t="e">
        <f>(F49-C49)*30</f>
        <v>#VALUE!</v>
      </c>
      <c r="H49" s="140"/>
    </row>
    <row r="50" spans="1:9" ht="16.5" customHeight="1">
      <c r="A50" s="830"/>
      <c r="B50" s="129" t="s">
        <v>472</v>
      </c>
      <c r="C50" s="728">
        <v>10111000</v>
      </c>
      <c r="D50" s="372">
        <f>F50-2000000</f>
        <v>21520000</v>
      </c>
      <c r="E50" s="354">
        <f>(D50-C50)*34</f>
        <v>387906000</v>
      </c>
      <c r="F50" s="727">
        <v>23520000</v>
      </c>
      <c r="G50" s="354">
        <f>(F50-C50)*34</f>
        <v>455906000</v>
      </c>
      <c r="H50" s="140" t="s">
        <v>1181</v>
      </c>
    </row>
    <row r="51" spans="1:9" ht="16.5" customHeight="1">
      <c r="A51" s="831"/>
      <c r="B51" s="129" t="s">
        <v>478</v>
      </c>
      <c r="C51" s="141">
        <v>10140000</v>
      </c>
      <c r="D51" s="139"/>
      <c r="E51" s="354">
        <f>(D51-C51)*34</f>
        <v>-344760000</v>
      </c>
      <c r="F51" s="139" t="s">
        <v>436</v>
      </c>
      <c r="G51" s="354" t="e">
        <f>(F51-C51)*34</f>
        <v>#VALUE!</v>
      </c>
      <c r="H51" s="140"/>
    </row>
    <row r="52" spans="1:9" ht="16.5" customHeight="1">
      <c r="A52" s="830"/>
      <c r="B52" s="129" t="s">
        <v>435</v>
      </c>
      <c r="C52" s="141">
        <v>10071000</v>
      </c>
      <c r="D52" s="139"/>
      <c r="E52" s="354">
        <f>(D52-C52)*34</f>
        <v>-342414000</v>
      </c>
      <c r="F52" s="139" t="s">
        <v>436</v>
      </c>
      <c r="G52" s="354" t="e">
        <f>(F52-C52)*34</f>
        <v>#VALUE!</v>
      </c>
      <c r="H52" s="140"/>
    </row>
    <row r="53" spans="1:9" ht="16.5" customHeight="1">
      <c r="A53" s="831"/>
      <c r="B53" s="129" t="s">
        <v>457</v>
      </c>
      <c r="C53" s="141">
        <v>10297000</v>
      </c>
      <c r="D53" s="139"/>
      <c r="E53" s="354">
        <f>(D53-C53)*39</f>
        <v>-401583000</v>
      </c>
      <c r="F53" s="139" t="s">
        <v>1165</v>
      </c>
      <c r="G53" s="354" t="e">
        <f>(F53-C53)*39</f>
        <v>#VALUE!</v>
      </c>
      <c r="H53" s="140" t="s">
        <v>149</v>
      </c>
    </row>
    <row r="54" spans="1:9" ht="5.25" customHeight="1" thickBot="1">
      <c r="A54" s="343"/>
      <c r="B54" s="143"/>
      <c r="C54" s="144"/>
      <c r="D54" s="144"/>
      <c r="E54" s="145"/>
      <c r="F54" s="144"/>
      <c r="G54" s="145"/>
      <c r="H54" s="146"/>
    </row>
    <row r="55" spans="1:9" ht="60.15" customHeight="1">
      <c r="A55" s="818" t="s">
        <v>286</v>
      </c>
      <c r="B55" s="347" t="s">
        <v>101</v>
      </c>
      <c r="C55" s="508" t="s">
        <v>1395</v>
      </c>
      <c r="D55" s="352" t="s">
        <v>247</v>
      </c>
      <c r="E55" s="353" t="s">
        <v>322</v>
      </c>
      <c r="F55" s="352" t="s">
        <v>222</v>
      </c>
      <c r="G55" s="353" t="s">
        <v>367</v>
      </c>
      <c r="H55" s="347" t="s">
        <v>1136</v>
      </c>
      <c r="I55" s="824" t="s">
        <v>1206</v>
      </c>
    </row>
    <row r="56" spans="1:9">
      <c r="A56" s="819"/>
      <c r="B56" s="213" t="s">
        <v>438</v>
      </c>
      <c r="C56" s="148" t="s">
        <v>436</v>
      </c>
      <c r="D56" s="139" t="e">
        <f t="shared" ref="D56:D65" si="2">E44</f>
        <v>#VALUE!</v>
      </c>
      <c r="E56" s="354" t="e">
        <f t="shared" ref="E56:E65" si="3">D56-C56</f>
        <v>#VALUE!</v>
      </c>
      <c r="F56" s="139" t="e">
        <f t="shared" ref="F56:F65" si="4">G44</f>
        <v>#VALUE!</v>
      </c>
      <c r="G56" s="354" t="e">
        <f t="shared" ref="G56:G65" si="5">F56-C56</f>
        <v>#VALUE!</v>
      </c>
      <c r="H56" s="739"/>
      <c r="I56" s="825"/>
    </row>
    <row r="57" spans="1:9">
      <c r="A57" s="819"/>
      <c r="B57" s="213" t="s">
        <v>443</v>
      </c>
      <c r="C57" s="148" t="s">
        <v>436</v>
      </c>
      <c r="D57" s="139">
        <f t="shared" si="2"/>
        <v>-213633000</v>
      </c>
      <c r="E57" s="354" t="e">
        <f t="shared" si="3"/>
        <v>#VALUE!</v>
      </c>
      <c r="F57" s="139" t="e">
        <f t="shared" si="4"/>
        <v>#VALUE!</v>
      </c>
      <c r="G57" s="354" t="e">
        <f t="shared" si="5"/>
        <v>#VALUE!</v>
      </c>
      <c r="H57" s="739"/>
      <c r="I57" s="825"/>
    </row>
    <row r="58" spans="1:9">
      <c r="A58" s="819"/>
      <c r="B58" s="213" t="s">
        <v>416</v>
      </c>
      <c r="C58" s="148" t="s">
        <v>436</v>
      </c>
      <c r="D58" s="139">
        <f t="shared" si="2"/>
        <v>-258375000</v>
      </c>
      <c r="E58" s="354" t="e">
        <f t="shared" si="3"/>
        <v>#VALUE!</v>
      </c>
      <c r="F58" s="139" t="e">
        <f t="shared" si="4"/>
        <v>#VALUE!</v>
      </c>
      <c r="G58" s="354" t="e">
        <f t="shared" si="5"/>
        <v>#VALUE!</v>
      </c>
      <c r="H58" s="739"/>
      <c r="I58" s="825"/>
    </row>
    <row r="59" spans="1:9">
      <c r="A59" s="819"/>
      <c r="B59" s="25" t="s">
        <v>458</v>
      </c>
      <c r="C59" s="148" t="s">
        <v>436</v>
      </c>
      <c r="D59" s="139">
        <f t="shared" si="2"/>
        <v>-309630000</v>
      </c>
      <c r="E59" s="354" t="e">
        <f t="shared" si="3"/>
        <v>#VALUE!</v>
      </c>
      <c r="F59" s="139" t="e">
        <f t="shared" si="4"/>
        <v>#VALUE!</v>
      </c>
      <c r="G59" s="354" t="e">
        <f t="shared" si="5"/>
        <v>#VALUE!</v>
      </c>
      <c r="H59" s="739"/>
      <c r="I59" s="825"/>
    </row>
    <row r="60" spans="1:9">
      <c r="A60" s="819"/>
      <c r="B60" s="213" t="s">
        <v>424</v>
      </c>
      <c r="C60" s="148" t="s">
        <v>436</v>
      </c>
      <c r="D60" s="139">
        <f t="shared" si="2"/>
        <v>-305760000</v>
      </c>
      <c r="E60" s="354" t="e">
        <f t="shared" si="3"/>
        <v>#VALUE!</v>
      </c>
      <c r="F60" s="139" t="e">
        <f t="shared" si="4"/>
        <v>#VALUE!</v>
      </c>
      <c r="G60" s="354" t="e">
        <f t="shared" si="5"/>
        <v>#VALUE!</v>
      </c>
      <c r="H60" s="739"/>
      <c r="I60" s="825"/>
    </row>
    <row r="61" spans="1:9">
      <c r="A61" s="819"/>
      <c r="B61" s="213" t="s">
        <v>442</v>
      </c>
      <c r="C61" s="148" t="s">
        <v>436</v>
      </c>
      <c r="D61" s="139">
        <f t="shared" si="2"/>
        <v>-298320000</v>
      </c>
      <c r="E61" s="354" t="e">
        <f t="shared" si="3"/>
        <v>#VALUE!</v>
      </c>
      <c r="F61" s="139" t="e">
        <f t="shared" si="4"/>
        <v>#VALUE!</v>
      </c>
      <c r="G61" s="354" t="e">
        <f t="shared" si="5"/>
        <v>#VALUE!</v>
      </c>
      <c r="H61" s="739"/>
      <c r="I61" s="825"/>
    </row>
    <row r="62" spans="1:9" ht="17">
      <c r="A62" s="819"/>
      <c r="B62" s="213" t="s">
        <v>472</v>
      </c>
      <c r="C62" s="130">
        <v>600000000</v>
      </c>
      <c r="D62" s="139">
        <f t="shared" si="2"/>
        <v>387906000</v>
      </c>
      <c r="E62" s="355">
        <f t="shared" si="3"/>
        <v>-212094000</v>
      </c>
      <c r="F62" s="139">
        <f t="shared" si="4"/>
        <v>455906000</v>
      </c>
      <c r="G62" s="354">
        <f t="shared" si="5"/>
        <v>-144094000</v>
      </c>
      <c r="H62" s="62">
        <f>(C62+(C50*34))/34</f>
        <v>27758058.823529411</v>
      </c>
      <c r="I62" s="751">
        <f>H62/F50</f>
        <v>1.180189575830332</v>
      </c>
    </row>
    <row r="63" spans="1:9">
      <c r="A63" s="819"/>
      <c r="B63" s="213" t="s">
        <v>478</v>
      </c>
      <c r="C63" s="130" t="s">
        <v>436</v>
      </c>
      <c r="D63" s="139">
        <f t="shared" si="2"/>
        <v>-344760000</v>
      </c>
      <c r="E63" s="354" t="e">
        <f t="shared" si="3"/>
        <v>#VALUE!</v>
      </c>
      <c r="F63" s="139" t="e">
        <f t="shared" si="4"/>
        <v>#VALUE!</v>
      </c>
      <c r="G63" s="354" t="e">
        <f t="shared" si="5"/>
        <v>#VALUE!</v>
      </c>
      <c r="H63" s="739"/>
      <c r="I63" s="140"/>
    </row>
    <row r="64" spans="1:9">
      <c r="A64" s="819"/>
      <c r="B64" s="213" t="s">
        <v>435</v>
      </c>
      <c r="C64" s="130" t="s">
        <v>436</v>
      </c>
      <c r="D64" s="139">
        <f t="shared" si="2"/>
        <v>-342414000</v>
      </c>
      <c r="E64" s="354" t="e">
        <f t="shared" si="3"/>
        <v>#VALUE!</v>
      </c>
      <c r="F64" s="139" t="e">
        <f t="shared" si="4"/>
        <v>#VALUE!</v>
      </c>
      <c r="G64" s="354" t="e">
        <f t="shared" si="5"/>
        <v>#VALUE!</v>
      </c>
      <c r="H64" s="739"/>
      <c r="I64" s="140"/>
    </row>
    <row r="65" spans="1:12" ht="16.5" thickBot="1">
      <c r="A65" s="820"/>
      <c r="B65" s="175" t="s">
        <v>457</v>
      </c>
      <c r="C65" s="198"/>
      <c r="D65" s="179">
        <f t="shared" si="2"/>
        <v>-401583000</v>
      </c>
      <c r="E65" s="368">
        <f t="shared" si="3"/>
        <v>-401583000</v>
      </c>
      <c r="F65" s="179" t="e">
        <f t="shared" si="4"/>
        <v>#VALUE!</v>
      </c>
      <c r="G65" s="368" t="e">
        <f t="shared" si="5"/>
        <v>#VALUE!</v>
      </c>
      <c r="H65" s="740"/>
      <c r="I65" s="180"/>
    </row>
    <row r="66" spans="1:12" s="1" customFormat="1">
      <c r="A66" s="929" t="s">
        <v>598</v>
      </c>
      <c r="B66" s="741" t="s">
        <v>599</v>
      </c>
      <c r="C66" s="738" t="s">
        <v>857</v>
      </c>
      <c r="D66" s="930" t="s">
        <v>600</v>
      </c>
      <c r="E66" s="931"/>
      <c r="F66" s="931"/>
      <c r="G66" s="931"/>
      <c r="H66" s="932"/>
      <c r="J66" s="5"/>
      <c r="K66" s="5"/>
      <c r="L66" s="5"/>
    </row>
    <row r="67" spans="1:12" s="1" customFormat="1">
      <c r="A67" s="835"/>
      <c r="B67" s="165" t="s">
        <v>1122</v>
      </c>
      <c r="C67" s="627">
        <v>1600</v>
      </c>
      <c r="D67" s="492"/>
      <c r="H67" s="42"/>
    </row>
    <row r="68" spans="1:12" s="1" customFormat="1">
      <c r="A68" s="835"/>
      <c r="B68" s="165" t="s">
        <v>601</v>
      </c>
      <c r="C68" s="627">
        <v>1700</v>
      </c>
      <c r="D68" s="492"/>
      <c r="H68" s="42"/>
    </row>
    <row r="69" spans="1:12" s="1" customFormat="1">
      <c r="A69" s="835"/>
      <c r="B69" s="165" t="s">
        <v>602</v>
      </c>
      <c r="C69" s="627">
        <v>1900</v>
      </c>
      <c r="D69" s="492"/>
      <c r="H69" s="42"/>
    </row>
    <row r="70" spans="1:12" s="1" customFormat="1">
      <c r="A70" s="835"/>
      <c r="B70" s="165" t="s">
        <v>603</v>
      </c>
      <c r="C70" s="627">
        <v>2000</v>
      </c>
      <c r="D70" s="492"/>
      <c r="H70" s="42"/>
    </row>
    <row r="71" spans="1:12" s="1" customFormat="1">
      <c r="A71" s="835"/>
      <c r="B71" s="165" t="s">
        <v>604</v>
      </c>
      <c r="C71" s="627">
        <v>2776</v>
      </c>
      <c r="D71" s="492"/>
      <c r="H71" s="42"/>
    </row>
    <row r="72" spans="1:12" s="1" customFormat="1">
      <c r="A72" s="835"/>
      <c r="B72" s="165" t="s">
        <v>1176</v>
      </c>
      <c r="C72" s="627">
        <f>H62/10000</f>
        <v>2775.8058823529409</v>
      </c>
      <c r="D72" s="492"/>
      <c r="H72" s="42"/>
    </row>
    <row r="73" spans="1:12" s="1" customFormat="1">
      <c r="A73" s="835"/>
      <c r="B73" s="165" t="s">
        <v>1182</v>
      </c>
      <c r="C73" s="627"/>
      <c r="D73" s="492"/>
      <c r="H73" s="42"/>
    </row>
    <row r="74" spans="1:12" s="1" customFormat="1">
      <c r="A74" s="835"/>
      <c r="B74" s="165" t="s">
        <v>1183</v>
      </c>
      <c r="C74" s="627"/>
      <c r="D74" s="492"/>
      <c r="H74" s="42"/>
    </row>
    <row r="75" spans="1:12" s="1" customFormat="1" ht="17.5" thickBot="1">
      <c r="A75" s="836"/>
      <c r="B75" s="165" t="s">
        <v>1107</v>
      </c>
      <c r="C75" s="628"/>
      <c r="D75" s="493"/>
      <c r="E75" s="486"/>
      <c r="F75" s="486"/>
      <c r="G75" s="486"/>
      <c r="H75" s="487"/>
    </row>
    <row r="76" spans="1:12" s="1" customFormat="1">
      <c r="A76" s="826" t="s">
        <v>650</v>
      </c>
      <c r="B76" s="564"/>
      <c r="C76" s="565"/>
      <c r="D76" s="566"/>
      <c r="E76" s="559"/>
      <c r="F76" s="559"/>
      <c r="G76" s="559"/>
      <c r="H76" s="567"/>
    </row>
    <row r="77" spans="1:12" s="1" customFormat="1">
      <c r="A77" s="827"/>
      <c r="B77" s="206"/>
      <c r="C77" s="78"/>
      <c r="D77" s="79"/>
      <c r="E77" s="76"/>
      <c r="F77" s="76"/>
      <c r="G77" s="76"/>
      <c r="H77" s="114"/>
    </row>
    <row r="78" spans="1:12" s="1" customFormat="1">
      <c r="A78" s="827"/>
      <c r="B78" s="206"/>
      <c r="C78" s="78"/>
      <c r="D78" s="79"/>
      <c r="E78" s="76"/>
      <c r="F78" s="76"/>
      <c r="G78" s="76"/>
      <c r="H78" s="114"/>
    </row>
    <row r="79" spans="1:12" s="1" customFormat="1">
      <c r="A79" s="827"/>
      <c r="B79" s="206"/>
      <c r="C79" s="78"/>
      <c r="D79" s="79"/>
      <c r="E79" s="76"/>
      <c r="F79" s="76"/>
      <c r="G79" s="76"/>
      <c r="H79" s="114"/>
    </row>
    <row r="80" spans="1:12" s="1" customFormat="1">
      <c r="A80" s="827"/>
      <c r="B80" s="206"/>
      <c r="C80" s="78"/>
      <c r="D80" s="79"/>
      <c r="E80" s="76"/>
      <c r="F80" s="76"/>
      <c r="G80" s="76"/>
      <c r="H80" s="114"/>
    </row>
    <row r="81" spans="1:8" s="1" customFormat="1">
      <c r="A81" s="827"/>
      <c r="B81" s="206"/>
      <c r="C81" s="78"/>
      <c r="D81" s="79"/>
      <c r="E81" s="76"/>
      <c r="F81" s="76"/>
      <c r="G81" s="76"/>
      <c r="H81" s="114"/>
    </row>
    <row r="82" spans="1:8" s="1" customFormat="1" ht="16.5" thickBot="1">
      <c r="A82" s="828"/>
      <c r="B82" s="568"/>
      <c r="C82" s="569"/>
      <c r="D82" s="570"/>
      <c r="E82" s="571"/>
      <c r="F82" s="571"/>
      <c r="G82" s="571"/>
      <c r="H82" s="572"/>
    </row>
  </sheetData>
  <mergeCells count="20">
    <mergeCell ref="A1:H1"/>
    <mergeCell ref="A2:A18"/>
    <mergeCell ref="D7:E7"/>
    <mergeCell ref="G7:H7"/>
    <mergeCell ref="B17:B18"/>
    <mergeCell ref="C5:D5"/>
    <mergeCell ref="C6:D6"/>
    <mergeCell ref="F10:H10"/>
    <mergeCell ref="C3:H3"/>
    <mergeCell ref="C2:H2"/>
    <mergeCell ref="A20:A28"/>
    <mergeCell ref="A30:A41"/>
    <mergeCell ref="A43:A53"/>
    <mergeCell ref="F14:G14"/>
    <mergeCell ref="F15:H15"/>
    <mergeCell ref="I55:I61"/>
    <mergeCell ref="A66:A75"/>
    <mergeCell ref="D66:H66"/>
    <mergeCell ref="A76:A82"/>
    <mergeCell ref="A55:A65"/>
  </mergeCells>
  <phoneticPr fontId="16" type="noConversion"/>
  <pageMargins left="0.69972223043441772" right="0.69972223043441772" top="0.75" bottom="0.75" header="0.30000001192092896" footer="0.30000001192092896"/>
  <pageSetup paperSize="9" scale="53" orientation="portrait" horizontalDpi="4294967293" verticalDpi="4294967293" r:id="rId1"/>
  <rowBreaks count="1" manualBreakCount="1">
    <brk id="89" max="1048575" man="1"/>
  </row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rgb="FFFF0000"/>
  </sheetPr>
  <dimension ref="A1:L82"/>
  <sheetViews>
    <sheetView showGridLines="0" topLeftCell="A56" zoomScale="85" zoomScaleNormal="85" zoomScaleSheetLayoutView="85" workbookViewId="0">
      <selection activeCell="C62" sqref="C62"/>
    </sheetView>
  </sheetViews>
  <sheetFormatPr defaultColWidth="13.4140625" defaultRowHeight="16"/>
  <cols>
    <col min="1" max="1" width="6.4140625" style="76" customWidth="1"/>
    <col min="2" max="2" width="18.5" style="77" bestFit="1" customWidth="1"/>
    <col min="3" max="3" width="26.08203125" style="78" bestFit="1" customWidth="1"/>
    <col min="4" max="4" width="22.33203125" style="79" bestFit="1" customWidth="1"/>
    <col min="5" max="5" width="13.9140625" style="76" bestFit="1" customWidth="1"/>
    <col min="6" max="6" width="15.75" style="76" bestFit="1" customWidth="1"/>
    <col min="7" max="7" width="14" style="76" bestFit="1" customWidth="1"/>
    <col min="8" max="8" width="16.9140625" style="76" bestFit="1" customWidth="1"/>
    <col min="9" max="9" width="26.33203125" style="76" bestFit="1" customWidth="1"/>
    <col min="10" max="12" width="13.4140625" style="76" bestFit="1" customWidth="1"/>
    <col min="13" max="16384" width="13.4140625" style="76"/>
  </cols>
  <sheetData>
    <row r="1" spans="1:8" ht="31.5" customHeight="1">
      <c r="A1" s="927" t="s">
        <v>107</v>
      </c>
      <c r="B1" s="927"/>
      <c r="C1" s="927"/>
      <c r="D1" s="927"/>
      <c r="E1" s="927"/>
      <c r="F1" s="927"/>
      <c r="G1" s="927"/>
      <c r="H1" s="927"/>
    </row>
    <row r="2" spans="1:8" ht="15.5" customHeight="1">
      <c r="A2" s="955" t="s">
        <v>112</v>
      </c>
      <c r="B2" s="6" t="s">
        <v>420</v>
      </c>
      <c r="C2" s="852" t="s">
        <v>298</v>
      </c>
      <c r="D2" s="852"/>
      <c r="E2" s="852"/>
      <c r="F2" s="852"/>
      <c r="G2" s="852"/>
      <c r="H2" s="852"/>
    </row>
    <row r="3" spans="1:8" ht="15" customHeight="1">
      <c r="A3" s="958"/>
      <c r="B3" s="11" t="s">
        <v>471</v>
      </c>
      <c r="C3" s="851" t="s">
        <v>1121</v>
      </c>
      <c r="D3" s="851"/>
      <c r="E3" s="851"/>
      <c r="F3" s="851"/>
      <c r="G3" s="851"/>
      <c r="H3" s="851"/>
    </row>
    <row r="4" spans="1:8">
      <c r="A4" s="958"/>
      <c r="B4" s="11" t="s">
        <v>407</v>
      </c>
      <c r="C4" s="81" t="s">
        <v>16</v>
      </c>
      <c r="D4" s="82"/>
      <c r="E4" s="83"/>
      <c r="F4" s="83"/>
      <c r="G4" s="83"/>
      <c r="H4" s="84"/>
    </row>
    <row r="5" spans="1:8">
      <c r="A5" s="955"/>
      <c r="B5" s="11" t="s">
        <v>58</v>
      </c>
      <c r="C5" s="845" t="s">
        <v>263</v>
      </c>
      <c r="D5" s="846"/>
      <c r="E5" s="85"/>
      <c r="F5" s="85"/>
      <c r="G5" s="85"/>
      <c r="H5" s="86"/>
    </row>
    <row r="6" spans="1:8">
      <c r="A6" s="958"/>
      <c r="B6" s="11" t="s">
        <v>53</v>
      </c>
      <c r="C6" s="845"/>
      <c r="D6" s="847"/>
      <c r="E6" s="85"/>
      <c r="F6" s="85"/>
      <c r="G6" s="85"/>
      <c r="H6" s="86"/>
    </row>
    <row r="7" spans="1:8">
      <c r="A7" s="937"/>
      <c r="B7" s="16" t="s">
        <v>99</v>
      </c>
      <c r="C7" s="87">
        <v>66651</v>
      </c>
      <c r="D7" s="840" t="s">
        <v>231</v>
      </c>
      <c r="E7" s="841"/>
      <c r="F7" s="470">
        <f>C7*0.3025/C9</f>
        <v>40.0038244047619</v>
      </c>
      <c r="G7" s="842" t="s">
        <v>524</v>
      </c>
      <c r="H7" s="843"/>
    </row>
    <row r="8" spans="1:8">
      <c r="A8" s="937"/>
      <c r="B8" s="16" t="s">
        <v>425</v>
      </c>
      <c r="C8" s="87">
        <v>12</v>
      </c>
      <c r="D8" s="88"/>
      <c r="E8" s="83"/>
      <c r="F8" s="83"/>
      <c r="G8" s="83"/>
      <c r="H8" s="84"/>
    </row>
    <row r="9" spans="1:8">
      <c r="A9" s="937"/>
      <c r="B9" s="16" t="s">
        <v>335</v>
      </c>
      <c r="C9" s="87">
        <v>504</v>
      </c>
      <c r="D9" s="89" t="s">
        <v>39</v>
      </c>
      <c r="E9" s="90">
        <f>C9/C11</f>
        <v>0.39936608557844688</v>
      </c>
      <c r="F9" s="88"/>
      <c r="G9" s="83"/>
      <c r="H9" s="84"/>
    </row>
    <row r="10" spans="1:8">
      <c r="A10" s="937"/>
      <c r="B10" s="16" t="s">
        <v>54</v>
      </c>
      <c r="C10" s="471">
        <f>C11-C9</f>
        <v>758</v>
      </c>
      <c r="D10" s="89" t="s">
        <v>145</v>
      </c>
      <c r="E10" s="472">
        <f>C10/C11</f>
        <v>0.60063391442155312</v>
      </c>
      <c r="F10" s="848" t="s">
        <v>29</v>
      </c>
      <c r="G10" s="849"/>
      <c r="H10" s="850"/>
    </row>
    <row r="11" spans="1:8">
      <c r="A11" s="937"/>
      <c r="B11" s="16" t="s">
        <v>150</v>
      </c>
      <c r="C11" s="87">
        <v>1262</v>
      </c>
      <c r="D11" s="177" t="s">
        <v>18</v>
      </c>
      <c r="E11" s="83"/>
      <c r="F11" s="83"/>
      <c r="G11" s="83"/>
      <c r="H11" s="84"/>
    </row>
    <row r="12" spans="1:8">
      <c r="A12" s="937"/>
      <c r="B12" s="16" t="s">
        <v>427</v>
      </c>
      <c r="C12" s="92">
        <v>0.1845</v>
      </c>
      <c r="D12" s="93" t="s">
        <v>84</v>
      </c>
      <c r="E12" s="94">
        <f>C7*C12</f>
        <v>12297.1095</v>
      </c>
      <c r="F12" s="95" t="s">
        <v>41</v>
      </c>
      <c r="G12" s="96">
        <f>E13/E12</f>
        <v>13.810840108401081</v>
      </c>
      <c r="H12" s="97"/>
    </row>
    <row r="13" spans="1:8">
      <c r="A13" s="937"/>
      <c r="B13" s="16" t="s">
        <v>466</v>
      </c>
      <c r="C13" s="92">
        <v>2.5480999999999998</v>
      </c>
      <c r="D13" s="93" t="s">
        <v>91</v>
      </c>
      <c r="E13" s="98">
        <f>C7*C13</f>
        <v>169833.41309999998</v>
      </c>
      <c r="F13" s="95" t="s">
        <v>209</v>
      </c>
      <c r="G13" s="473">
        <f>E13*76%</f>
        <v>129073.39395599999</v>
      </c>
      <c r="H13" s="99"/>
    </row>
    <row r="14" spans="1:8">
      <c r="A14" s="937"/>
      <c r="B14" s="16" t="s">
        <v>208</v>
      </c>
      <c r="C14" s="100" t="s">
        <v>227</v>
      </c>
      <c r="D14" s="88"/>
      <c r="E14" s="83"/>
      <c r="F14" s="840" t="s">
        <v>234</v>
      </c>
      <c r="G14" s="841"/>
      <c r="H14" s="367">
        <f>G13/C41</f>
        <v>1.2862962176092478</v>
      </c>
    </row>
    <row r="15" spans="1:8" ht="15" customHeight="1">
      <c r="A15" s="937"/>
      <c r="B15" s="16" t="s">
        <v>441</v>
      </c>
      <c r="C15" s="101" t="s">
        <v>463</v>
      </c>
      <c r="D15" s="102"/>
      <c r="E15" s="103"/>
      <c r="F15" s="848" t="s">
        <v>392</v>
      </c>
      <c r="G15" s="849"/>
      <c r="H15" s="850"/>
    </row>
    <row r="16" spans="1:8">
      <c r="A16" s="937"/>
      <c r="B16" s="32" t="s">
        <v>87</v>
      </c>
      <c r="C16" s="100">
        <v>1.08</v>
      </c>
      <c r="D16" s="104"/>
      <c r="E16" s="83"/>
      <c r="F16" s="83"/>
      <c r="G16" s="83"/>
      <c r="H16" s="84"/>
    </row>
    <row r="17" spans="1:8" ht="15" customHeight="1">
      <c r="A17" s="955"/>
      <c r="B17" s="844" t="s">
        <v>470</v>
      </c>
      <c r="C17" s="105"/>
      <c r="D17" s="105"/>
      <c r="E17" s="106"/>
      <c r="F17" s="106"/>
      <c r="G17" s="106"/>
      <c r="H17" s="107"/>
    </row>
    <row r="18" spans="1:8">
      <c r="A18" s="938"/>
      <c r="B18" s="844"/>
      <c r="C18" s="108"/>
      <c r="D18" s="109"/>
      <c r="E18" s="110"/>
      <c r="F18" s="110"/>
      <c r="G18" s="110"/>
      <c r="H18" s="111"/>
    </row>
    <row r="19" spans="1:8" ht="5.25" customHeight="1">
      <c r="A19" s="112"/>
      <c r="B19" s="40"/>
      <c r="C19" s="113"/>
      <c r="D19" s="113"/>
      <c r="H19" s="114"/>
    </row>
    <row r="20" spans="1:8">
      <c r="A20" s="955" t="s">
        <v>49</v>
      </c>
      <c r="B20" s="43" t="s">
        <v>174</v>
      </c>
      <c r="C20" s="115" t="s">
        <v>287</v>
      </c>
      <c r="D20" s="116"/>
      <c r="E20" s="117"/>
      <c r="F20" s="117"/>
      <c r="G20" s="117"/>
      <c r="H20" s="118"/>
    </row>
    <row r="21" spans="1:8">
      <c r="A21" s="956"/>
      <c r="B21" s="25" t="s">
        <v>65</v>
      </c>
      <c r="C21" s="119" t="s">
        <v>303</v>
      </c>
      <c r="D21" s="120"/>
      <c r="E21" s="83"/>
      <c r="F21" s="83"/>
      <c r="G21" s="83"/>
      <c r="H21" s="84"/>
    </row>
    <row r="22" spans="1:8">
      <c r="A22" s="955"/>
      <c r="B22" s="25" t="s">
        <v>95</v>
      </c>
      <c r="C22" s="93" t="s">
        <v>288</v>
      </c>
      <c r="D22" s="120"/>
      <c r="E22" s="83"/>
      <c r="F22" s="83"/>
      <c r="G22" s="83"/>
      <c r="H22" s="84"/>
    </row>
    <row r="23" spans="1:8">
      <c r="A23" s="956"/>
      <c r="B23" s="25" t="s">
        <v>59</v>
      </c>
      <c r="C23" s="93" t="s">
        <v>336</v>
      </c>
      <c r="D23" s="120"/>
      <c r="E23" s="83"/>
      <c r="F23" s="83"/>
      <c r="G23" s="83"/>
      <c r="H23" s="84"/>
    </row>
    <row r="24" spans="1:8">
      <c r="A24" s="955"/>
      <c r="B24" s="25" t="s">
        <v>452</v>
      </c>
      <c r="C24" s="93" t="s">
        <v>310</v>
      </c>
      <c r="D24" s="120"/>
      <c r="E24" s="83"/>
      <c r="F24" s="83"/>
      <c r="G24" s="83"/>
      <c r="H24" s="84"/>
    </row>
    <row r="25" spans="1:8">
      <c r="A25" s="956"/>
      <c r="B25" s="25" t="s">
        <v>445</v>
      </c>
      <c r="C25" s="93" t="s">
        <v>333</v>
      </c>
      <c r="D25" s="91"/>
      <c r="E25" s="83"/>
      <c r="F25" s="83"/>
      <c r="G25" s="83"/>
      <c r="H25" s="84"/>
    </row>
    <row r="26" spans="1:8">
      <c r="A26" s="956"/>
      <c r="B26" s="25" t="s">
        <v>167</v>
      </c>
      <c r="C26" s="93" t="s">
        <v>359</v>
      </c>
      <c r="D26" s="91"/>
      <c r="E26" s="83"/>
      <c r="F26" s="83"/>
      <c r="G26" s="83"/>
      <c r="H26" s="84"/>
    </row>
    <row r="27" spans="1:8">
      <c r="A27" s="956"/>
      <c r="B27" s="25" t="s">
        <v>447</v>
      </c>
      <c r="C27" s="93" t="s">
        <v>352</v>
      </c>
      <c r="D27" s="91"/>
      <c r="E27" s="83"/>
      <c r="F27" s="83"/>
      <c r="G27" s="83"/>
      <c r="H27" s="84"/>
    </row>
    <row r="28" spans="1:8">
      <c r="A28" s="957"/>
      <c r="B28" s="35"/>
      <c r="C28" s="122"/>
      <c r="D28" s="123"/>
      <c r="E28" s="110"/>
      <c r="F28" s="110"/>
      <c r="G28" s="110"/>
      <c r="H28" s="111"/>
    </row>
    <row r="29" spans="1:8" ht="5.25" customHeight="1">
      <c r="A29" s="112"/>
      <c r="B29" s="40"/>
      <c r="C29" s="3"/>
      <c r="H29" s="114"/>
    </row>
    <row r="30" spans="1:8" s="80" customFormat="1" ht="13.5" customHeight="1">
      <c r="A30" s="955" t="s">
        <v>160</v>
      </c>
      <c r="B30" s="124" t="s">
        <v>101</v>
      </c>
      <c r="C30" s="125" t="s">
        <v>48</v>
      </c>
      <c r="D30" s="126" t="s">
        <v>125</v>
      </c>
      <c r="E30" s="126" t="s">
        <v>434</v>
      </c>
      <c r="F30" s="126" t="s">
        <v>414</v>
      </c>
      <c r="G30" s="127" t="s">
        <v>454</v>
      </c>
      <c r="H30" s="128" t="s">
        <v>470</v>
      </c>
    </row>
    <row r="31" spans="1:8">
      <c r="A31" s="956"/>
      <c r="B31" s="129" t="s">
        <v>438</v>
      </c>
      <c r="C31" s="130">
        <f>39*D31</f>
        <v>1638</v>
      </c>
      <c r="D31" s="87">
        <v>42</v>
      </c>
      <c r="E31" s="87" t="s">
        <v>436</v>
      </c>
      <c r="F31" s="87" t="s">
        <v>436</v>
      </c>
      <c r="G31" s="131">
        <f t="shared" ref="G31:G40" si="0">D31/$D$41</f>
        <v>3.1390134529147982E-2</v>
      </c>
      <c r="H31" s="132" t="s">
        <v>449</v>
      </c>
    </row>
    <row r="32" spans="1:8">
      <c r="A32" s="958"/>
      <c r="B32" s="129" t="s">
        <v>422</v>
      </c>
      <c r="C32" s="130">
        <f>47*D32</f>
        <v>1598</v>
      </c>
      <c r="D32" s="87">
        <v>34</v>
      </c>
      <c r="E32" s="87" t="s">
        <v>436</v>
      </c>
      <c r="F32" s="87" t="s">
        <v>436</v>
      </c>
      <c r="G32" s="131">
        <f t="shared" si="0"/>
        <v>2.5411061285500747E-2</v>
      </c>
      <c r="H32" s="132" t="s">
        <v>449</v>
      </c>
    </row>
    <row r="33" spans="1:8">
      <c r="A33" s="955"/>
      <c r="B33" s="129" t="s">
        <v>473</v>
      </c>
      <c r="C33" s="130">
        <f>59*D33</f>
        <v>16107</v>
      </c>
      <c r="D33" s="87">
        <v>273</v>
      </c>
      <c r="E33" s="87">
        <f t="shared" ref="E33:E40" si="1">D33-F33</f>
        <v>111</v>
      </c>
      <c r="F33" s="87">
        <v>162</v>
      </c>
      <c r="G33" s="131">
        <f t="shared" si="0"/>
        <v>0.20403587443946189</v>
      </c>
      <c r="H33" s="132"/>
    </row>
    <row r="34" spans="1:8">
      <c r="A34" s="956"/>
      <c r="B34" s="16" t="s">
        <v>475</v>
      </c>
      <c r="C34" s="130">
        <f>59*D34</f>
        <v>4838</v>
      </c>
      <c r="D34" s="87">
        <v>82</v>
      </c>
      <c r="E34" s="87">
        <f t="shared" si="1"/>
        <v>74</v>
      </c>
      <c r="F34" s="87">
        <v>8</v>
      </c>
      <c r="G34" s="131">
        <f t="shared" si="0"/>
        <v>6.1285500747384154E-2</v>
      </c>
      <c r="H34" s="132"/>
    </row>
    <row r="35" spans="1:8">
      <c r="A35" s="956"/>
      <c r="B35" s="129" t="s">
        <v>468</v>
      </c>
      <c r="C35" s="130">
        <f>73*D35</f>
        <v>9636</v>
      </c>
      <c r="D35" s="87">
        <v>132</v>
      </c>
      <c r="E35" s="87">
        <f t="shared" si="1"/>
        <v>45</v>
      </c>
      <c r="F35" s="87">
        <v>87</v>
      </c>
      <c r="G35" s="131">
        <f t="shared" si="0"/>
        <v>9.8654708520179366E-2</v>
      </c>
      <c r="H35" s="132"/>
    </row>
    <row r="36" spans="1:8">
      <c r="A36" s="955"/>
      <c r="B36" s="129" t="s">
        <v>412</v>
      </c>
      <c r="C36" s="130">
        <f>73*D36</f>
        <v>1752</v>
      </c>
      <c r="D36" s="87">
        <v>24</v>
      </c>
      <c r="E36" s="87">
        <f t="shared" si="1"/>
        <v>18</v>
      </c>
      <c r="F36" s="87">
        <v>6</v>
      </c>
      <c r="G36" s="131">
        <f t="shared" si="0"/>
        <v>1.7937219730941704E-2</v>
      </c>
      <c r="H36" s="132"/>
    </row>
    <row r="37" spans="1:8">
      <c r="A37" s="958"/>
      <c r="B37" s="129" t="s">
        <v>472</v>
      </c>
      <c r="C37" s="130">
        <f>84*D37</f>
        <v>41580</v>
      </c>
      <c r="D37" s="133">
        <v>495</v>
      </c>
      <c r="E37" s="87">
        <f t="shared" si="1"/>
        <v>347</v>
      </c>
      <c r="F37" s="133">
        <v>148</v>
      </c>
      <c r="G37" s="131">
        <f t="shared" si="0"/>
        <v>0.36995515695067266</v>
      </c>
      <c r="H37" s="219"/>
    </row>
    <row r="38" spans="1:8">
      <c r="A38" s="955"/>
      <c r="B38" s="129" t="s">
        <v>478</v>
      </c>
      <c r="C38" s="130">
        <f>84*D38</f>
        <v>13608</v>
      </c>
      <c r="D38" s="133">
        <v>162</v>
      </c>
      <c r="E38" s="87">
        <f t="shared" si="1"/>
        <v>132</v>
      </c>
      <c r="F38" s="133">
        <v>30</v>
      </c>
      <c r="G38" s="131">
        <f t="shared" si="0"/>
        <v>0.1210762331838565</v>
      </c>
      <c r="H38" s="219"/>
    </row>
    <row r="39" spans="1:8">
      <c r="A39" s="958"/>
      <c r="B39" s="129" t="s">
        <v>111</v>
      </c>
      <c r="C39" s="130">
        <f>102*D39</f>
        <v>7956</v>
      </c>
      <c r="D39" s="133">
        <v>78</v>
      </c>
      <c r="E39" s="87">
        <f t="shared" si="1"/>
        <v>16</v>
      </c>
      <c r="F39" s="133">
        <v>62</v>
      </c>
      <c r="G39" s="131">
        <f t="shared" si="0"/>
        <v>5.829596412556054E-2</v>
      </c>
      <c r="H39" s="219"/>
    </row>
    <row r="40" spans="1:8">
      <c r="A40" s="955"/>
      <c r="B40" s="129" t="s">
        <v>126</v>
      </c>
      <c r="C40" s="130">
        <f>102*D40</f>
        <v>1632</v>
      </c>
      <c r="D40" s="133">
        <v>16</v>
      </c>
      <c r="E40" s="87">
        <f t="shared" si="1"/>
        <v>15</v>
      </c>
      <c r="F40" s="133">
        <v>1</v>
      </c>
      <c r="G40" s="131">
        <f t="shared" si="0"/>
        <v>1.195814648729447E-2</v>
      </c>
      <c r="H40" s="219"/>
    </row>
    <row r="41" spans="1:8">
      <c r="A41" s="957"/>
      <c r="B41" s="129" t="s">
        <v>462</v>
      </c>
      <c r="C41" s="57">
        <f>SUM(C31:C40)</f>
        <v>100345</v>
      </c>
      <c r="D41" s="57">
        <f>SUM(D31:D40)</f>
        <v>1338</v>
      </c>
      <c r="E41" s="57">
        <f>SUM(E31:E40)</f>
        <v>758</v>
      </c>
      <c r="F41" s="57">
        <f>SUM(F31:F40)</f>
        <v>504</v>
      </c>
      <c r="G41" s="135">
        <f>SUM(G31:G40)</f>
        <v>1</v>
      </c>
      <c r="H41" s="57">
        <f>SUM(H31:H36)</f>
        <v>0</v>
      </c>
    </row>
    <row r="42" spans="1:8" ht="6" customHeight="1">
      <c r="A42" s="112"/>
      <c r="B42" s="40"/>
      <c r="C42" s="3"/>
      <c r="H42" s="114"/>
    </row>
    <row r="43" spans="1:8" s="77" customFormat="1">
      <c r="A43" s="959" t="s">
        <v>33</v>
      </c>
      <c r="B43" s="124" t="s">
        <v>451</v>
      </c>
      <c r="C43" s="126" t="s">
        <v>901</v>
      </c>
      <c r="D43" s="126" t="s">
        <v>902</v>
      </c>
      <c r="E43" s="474" t="s">
        <v>43</v>
      </c>
      <c r="F43" s="126" t="s">
        <v>903</v>
      </c>
      <c r="G43" s="475" t="s">
        <v>172</v>
      </c>
      <c r="H43" s="137" t="s">
        <v>470</v>
      </c>
    </row>
    <row r="44" spans="1:8" ht="16.5" customHeight="1">
      <c r="A44" s="960"/>
      <c r="B44" s="129" t="s">
        <v>438</v>
      </c>
      <c r="C44" s="138" t="s">
        <v>436</v>
      </c>
      <c r="D44" s="139" t="s">
        <v>436</v>
      </c>
      <c r="E44" s="362" t="e">
        <f>(D44-C44)*17</f>
        <v>#VALUE!</v>
      </c>
      <c r="F44" s="139" t="s">
        <v>436</v>
      </c>
      <c r="G44" s="362" t="e">
        <f>(F44-C44)*17</f>
        <v>#VALUE!</v>
      </c>
      <c r="H44" s="140" t="s">
        <v>449</v>
      </c>
    </row>
    <row r="45" spans="1:8" ht="16.5" customHeight="1">
      <c r="A45" s="961"/>
      <c r="B45" s="129" t="s">
        <v>422</v>
      </c>
      <c r="C45" s="138" t="s">
        <v>436</v>
      </c>
      <c r="D45" s="139" t="s">
        <v>436</v>
      </c>
      <c r="E45" s="362" t="e">
        <f>(D45-C45)*20</f>
        <v>#VALUE!</v>
      </c>
      <c r="F45" s="139" t="s">
        <v>436</v>
      </c>
      <c r="G45" s="362" t="e">
        <f>(F45-C45)*20</f>
        <v>#VALUE!</v>
      </c>
      <c r="H45" s="140" t="s">
        <v>449</v>
      </c>
    </row>
    <row r="46" spans="1:8" ht="16.5" customHeight="1">
      <c r="A46" s="959"/>
      <c r="B46" s="129" t="s">
        <v>473</v>
      </c>
      <c r="C46" s="138">
        <f>230593000/25</f>
        <v>9223720</v>
      </c>
      <c r="D46" s="139">
        <f>268949000/25</f>
        <v>10757960</v>
      </c>
      <c r="E46" s="362">
        <f>(D46-C46)*25</f>
        <v>38356000</v>
      </c>
      <c r="F46" s="139" t="s">
        <v>436</v>
      </c>
      <c r="G46" s="362" t="e">
        <f>(F46-C46)*25</f>
        <v>#VALUE!</v>
      </c>
      <c r="H46" s="140"/>
    </row>
    <row r="47" spans="1:8" ht="16.5" customHeight="1">
      <c r="A47" s="960"/>
      <c r="B47" s="16" t="s">
        <v>475</v>
      </c>
      <c r="C47" s="138">
        <f>231772000/25</f>
        <v>9270880</v>
      </c>
      <c r="D47" s="139">
        <f>271530000/25</f>
        <v>10861200</v>
      </c>
      <c r="E47" s="362">
        <f>(D47-C47)*25</f>
        <v>39758000</v>
      </c>
      <c r="F47" s="139" t="s">
        <v>436</v>
      </c>
      <c r="G47" s="362" t="e">
        <f>(F47-C47)*25</f>
        <v>#VALUE!</v>
      </c>
      <c r="H47" s="140"/>
    </row>
    <row r="48" spans="1:8" ht="16.5" customHeight="1">
      <c r="A48" s="960"/>
      <c r="B48" s="129" t="s">
        <v>468</v>
      </c>
      <c r="C48" s="138">
        <f>281543000/30</f>
        <v>9384766.666666666</v>
      </c>
      <c r="D48" s="139">
        <f>328523000/30</f>
        <v>10950766.666666666</v>
      </c>
      <c r="E48" s="362">
        <f>(D48-C48)*30</f>
        <v>46980000</v>
      </c>
      <c r="F48" s="139" t="s">
        <v>436</v>
      </c>
      <c r="G48" s="362" t="e">
        <f>(F48-C48)*30</f>
        <v>#VALUE!</v>
      </c>
      <c r="H48" s="140"/>
    </row>
    <row r="49" spans="1:9" ht="16.5" customHeight="1">
      <c r="A49" s="960"/>
      <c r="B49" s="129" t="s">
        <v>412</v>
      </c>
      <c r="C49" s="138">
        <f>281264000/30</f>
        <v>9375466.666666666</v>
      </c>
      <c r="D49" s="139">
        <f>327886000/30</f>
        <v>10929533.333333334</v>
      </c>
      <c r="E49" s="362">
        <f>(D49-C49)*30</f>
        <v>46622000.000000037</v>
      </c>
      <c r="F49" s="139" t="s">
        <v>436</v>
      </c>
      <c r="G49" s="362" t="e">
        <f>(F49-C49)*30</f>
        <v>#VALUE!</v>
      </c>
      <c r="H49" s="140"/>
    </row>
    <row r="50" spans="1:9" ht="16.5" customHeight="1">
      <c r="A50" s="959"/>
      <c r="B50" s="129" t="s">
        <v>472</v>
      </c>
      <c r="C50" s="726">
        <f>324896000/34</f>
        <v>9555764.7058823537</v>
      </c>
      <c r="D50" s="372">
        <v>13000000</v>
      </c>
      <c r="E50" s="362">
        <f>(D50-C50)*34</f>
        <v>117103999.99999997</v>
      </c>
      <c r="F50" s="727">
        <v>23520000</v>
      </c>
      <c r="G50" s="362">
        <f>(F50-C50)*34</f>
        <v>474784000</v>
      </c>
      <c r="H50" s="140" t="s">
        <v>1181</v>
      </c>
    </row>
    <row r="51" spans="1:9" ht="16.5" customHeight="1">
      <c r="A51" s="960"/>
      <c r="B51" s="129" t="s">
        <v>478</v>
      </c>
      <c r="C51" s="138">
        <f>319773000/34</f>
        <v>9405088.2352941185</v>
      </c>
      <c r="D51" s="139">
        <f>371702000/34</f>
        <v>10932411.764705881</v>
      </c>
      <c r="E51" s="362">
        <f>(D51-C51)*34</f>
        <v>51928999.99999994</v>
      </c>
      <c r="F51" s="139" t="s">
        <v>436</v>
      </c>
      <c r="G51" s="362" t="e">
        <f>(F51-C51)*34</f>
        <v>#VALUE!</v>
      </c>
      <c r="H51" s="140"/>
    </row>
    <row r="52" spans="1:9" ht="16.5" customHeight="1">
      <c r="A52" s="959"/>
      <c r="B52" s="129" t="s">
        <v>111</v>
      </c>
      <c r="C52" s="138">
        <f>385777000/42</f>
        <v>9185166.666666666</v>
      </c>
      <c r="D52" s="139">
        <f>443337000/42</f>
        <v>10555642.857142856</v>
      </c>
      <c r="E52" s="362">
        <f>(D52-C52)*42</f>
        <v>57559999.999999993</v>
      </c>
      <c r="F52" s="139" t="s">
        <v>436</v>
      </c>
      <c r="G52" s="362" t="e">
        <f>(F52-C52)*42</f>
        <v>#VALUE!</v>
      </c>
      <c r="H52" s="140"/>
    </row>
    <row r="53" spans="1:9" ht="16.5" customHeight="1">
      <c r="A53" s="960"/>
      <c r="B53" s="129" t="s">
        <v>126</v>
      </c>
      <c r="C53" s="138">
        <f>377424000/42</f>
        <v>8986285.7142857146</v>
      </c>
      <c r="D53" s="139">
        <f>439599000/42</f>
        <v>10466642.857142856</v>
      </c>
      <c r="E53" s="362">
        <f>(D53-C53)*42</f>
        <v>62174999.999999955</v>
      </c>
      <c r="F53" s="139" t="s">
        <v>1165</v>
      </c>
      <c r="G53" s="362" t="e">
        <f>(F53-C53)*42</f>
        <v>#VALUE!</v>
      </c>
      <c r="H53" s="140"/>
    </row>
    <row r="54" spans="1:9" ht="5.25" customHeight="1" thickBot="1">
      <c r="A54" s="142"/>
      <c r="B54" s="143"/>
      <c r="C54" s="144"/>
      <c r="D54" s="144"/>
      <c r="E54" s="145"/>
      <c r="F54" s="144"/>
      <c r="G54" s="145"/>
      <c r="H54" s="146"/>
    </row>
    <row r="55" spans="1:9" ht="60.15" customHeight="1">
      <c r="A55" s="952" t="s">
        <v>286</v>
      </c>
      <c r="B55" s="126" t="s">
        <v>101</v>
      </c>
      <c r="C55" s="508" t="s">
        <v>1395</v>
      </c>
      <c r="D55" s="147" t="s">
        <v>247</v>
      </c>
      <c r="E55" s="476" t="s">
        <v>322</v>
      </c>
      <c r="F55" s="147" t="s">
        <v>222</v>
      </c>
      <c r="G55" s="476" t="s">
        <v>367</v>
      </c>
      <c r="H55" s="126" t="s">
        <v>1136</v>
      </c>
      <c r="I55" s="824" t="s">
        <v>1206</v>
      </c>
    </row>
    <row r="56" spans="1:9">
      <c r="A56" s="953"/>
      <c r="B56" s="213" t="s">
        <v>438</v>
      </c>
      <c r="C56" s="148" t="s">
        <v>436</v>
      </c>
      <c r="D56" s="139" t="e">
        <f t="shared" ref="D56:D65" si="2">E44</f>
        <v>#VALUE!</v>
      </c>
      <c r="E56" s="362" t="e">
        <f t="shared" ref="E56:E65" si="3">D56-C56</f>
        <v>#VALUE!</v>
      </c>
      <c r="F56" s="139" t="e">
        <f t="shared" ref="F56:F65" si="4">G44</f>
        <v>#VALUE!</v>
      </c>
      <c r="G56" s="362" t="e">
        <f t="shared" ref="G56:G65" si="5">F56-C56</f>
        <v>#VALUE!</v>
      </c>
      <c r="H56" s="739"/>
      <c r="I56" s="825"/>
    </row>
    <row r="57" spans="1:9">
      <c r="A57" s="953"/>
      <c r="B57" s="213" t="s">
        <v>422</v>
      </c>
      <c r="C57" s="148" t="s">
        <v>436</v>
      </c>
      <c r="D57" s="139" t="e">
        <f t="shared" si="2"/>
        <v>#VALUE!</v>
      </c>
      <c r="E57" s="362" t="e">
        <f t="shared" si="3"/>
        <v>#VALUE!</v>
      </c>
      <c r="F57" s="139" t="e">
        <f t="shared" si="4"/>
        <v>#VALUE!</v>
      </c>
      <c r="G57" s="362" t="e">
        <f t="shared" si="5"/>
        <v>#VALUE!</v>
      </c>
      <c r="H57" s="739"/>
      <c r="I57" s="825"/>
    </row>
    <row r="58" spans="1:9">
      <c r="A58" s="953"/>
      <c r="B58" s="213" t="s">
        <v>473</v>
      </c>
      <c r="C58" s="148" t="s">
        <v>436</v>
      </c>
      <c r="D58" s="139">
        <f t="shared" si="2"/>
        <v>38356000</v>
      </c>
      <c r="E58" s="362" t="e">
        <f t="shared" si="3"/>
        <v>#VALUE!</v>
      </c>
      <c r="F58" s="139" t="e">
        <f t="shared" si="4"/>
        <v>#VALUE!</v>
      </c>
      <c r="G58" s="362" t="e">
        <f t="shared" si="5"/>
        <v>#VALUE!</v>
      </c>
      <c r="H58" s="739"/>
      <c r="I58" s="825"/>
    </row>
    <row r="59" spans="1:9">
      <c r="A59" s="953"/>
      <c r="B59" s="25" t="s">
        <v>475</v>
      </c>
      <c r="C59" s="148" t="s">
        <v>436</v>
      </c>
      <c r="D59" s="139">
        <f t="shared" si="2"/>
        <v>39758000</v>
      </c>
      <c r="E59" s="362" t="e">
        <f t="shared" si="3"/>
        <v>#VALUE!</v>
      </c>
      <c r="F59" s="139" t="e">
        <f t="shared" si="4"/>
        <v>#VALUE!</v>
      </c>
      <c r="G59" s="362" t="e">
        <f t="shared" si="5"/>
        <v>#VALUE!</v>
      </c>
      <c r="H59" s="739"/>
      <c r="I59" s="825"/>
    </row>
    <row r="60" spans="1:9">
      <c r="A60" s="953"/>
      <c r="B60" s="213" t="s">
        <v>468</v>
      </c>
      <c r="C60" s="148" t="s">
        <v>436</v>
      </c>
      <c r="D60" s="139">
        <f t="shared" si="2"/>
        <v>46980000</v>
      </c>
      <c r="E60" s="362" t="e">
        <f t="shared" si="3"/>
        <v>#VALUE!</v>
      </c>
      <c r="F60" s="139" t="e">
        <f t="shared" si="4"/>
        <v>#VALUE!</v>
      </c>
      <c r="G60" s="362" t="e">
        <f t="shared" si="5"/>
        <v>#VALUE!</v>
      </c>
      <c r="H60" s="739"/>
      <c r="I60" s="825"/>
    </row>
    <row r="61" spans="1:9">
      <c r="A61" s="953"/>
      <c r="B61" s="213" t="s">
        <v>412</v>
      </c>
      <c r="C61" s="148" t="s">
        <v>436</v>
      </c>
      <c r="D61" s="139">
        <f t="shared" si="2"/>
        <v>46622000.000000037</v>
      </c>
      <c r="E61" s="362" t="e">
        <f t="shared" si="3"/>
        <v>#VALUE!</v>
      </c>
      <c r="F61" s="139" t="e">
        <f t="shared" si="4"/>
        <v>#VALUE!</v>
      </c>
      <c r="G61" s="362" t="e">
        <f t="shared" si="5"/>
        <v>#VALUE!</v>
      </c>
      <c r="H61" s="739"/>
      <c r="I61" s="825"/>
    </row>
    <row r="62" spans="1:9" ht="17">
      <c r="A62" s="953"/>
      <c r="B62" s="213" t="s">
        <v>472</v>
      </c>
      <c r="C62" s="148">
        <v>600000000</v>
      </c>
      <c r="D62" s="139">
        <f t="shared" si="2"/>
        <v>117103999.99999997</v>
      </c>
      <c r="E62" s="362">
        <f t="shared" si="3"/>
        <v>-482896000</v>
      </c>
      <c r="F62" s="139">
        <f t="shared" si="4"/>
        <v>474784000</v>
      </c>
      <c r="G62" s="362">
        <f t="shared" si="5"/>
        <v>-125216000</v>
      </c>
      <c r="H62" s="62">
        <f>(C62+(C50*34))/34</f>
        <v>27202823.529411763</v>
      </c>
      <c r="I62" s="751">
        <f>H62/F50</f>
        <v>1.1565826330532212</v>
      </c>
    </row>
    <row r="63" spans="1:9">
      <c r="A63" s="953"/>
      <c r="B63" s="213" t="s">
        <v>478</v>
      </c>
      <c r="C63" s="148" t="s">
        <v>436</v>
      </c>
      <c r="D63" s="139">
        <f t="shared" si="2"/>
        <v>51928999.99999994</v>
      </c>
      <c r="E63" s="362" t="e">
        <f t="shared" si="3"/>
        <v>#VALUE!</v>
      </c>
      <c r="F63" s="139" t="e">
        <f t="shared" si="4"/>
        <v>#VALUE!</v>
      </c>
      <c r="G63" s="362" t="e">
        <f t="shared" si="5"/>
        <v>#VALUE!</v>
      </c>
      <c r="H63" s="739"/>
      <c r="I63" s="140"/>
    </row>
    <row r="64" spans="1:9">
      <c r="A64" s="953"/>
      <c r="B64" s="213" t="s">
        <v>111</v>
      </c>
      <c r="C64" s="148" t="s">
        <v>436</v>
      </c>
      <c r="D64" s="139">
        <f t="shared" si="2"/>
        <v>57559999.999999993</v>
      </c>
      <c r="E64" s="362" t="e">
        <f t="shared" si="3"/>
        <v>#VALUE!</v>
      </c>
      <c r="F64" s="139" t="e">
        <f t="shared" si="4"/>
        <v>#VALUE!</v>
      </c>
      <c r="G64" s="362" t="e">
        <f t="shared" si="5"/>
        <v>#VALUE!</v>
      </c>
      <c r="H64" s="739"/>
      <c r="I64" s="140"/>
    </row>
    <row r="65" spans="1:12" ht="16.5" thickBot="1">
      <c r="A65" s="954"/>
      <c r="B65" s="175" t="s">
        <v>126</v>
      </c>
      <c r="C65" s="240"/>
      <c r="D65" s="179">
        <f t="shared" si="2"/>
        <v>62174999.999999955</v>
      </c>
      <c r="E65" s="363">
        <f t="shared" si="3"/>
        <v>62174999.999999955</v>
      </c>
      <c r="F65" s="179" t="e">
        <f t="shared" si="4"/>
        <v>#VALUE!</v>
      </c>
      <c r="G65" s="363" t="e">
        <f t="shared" si="5"/>
        <v>#VALUE!</v>
      </c>
      <c r="H65" s="740"/>
      <c r="I65" s="180"/>
    </row>
    <row r="66" spans="1:12" s="1" customFormat="1">
      <c r="A66" s="929" t="s">
        <v>598</v>
      </c>
      <c r="B66" s="741" t="s">
        <v>599</v>
      </c>
      <c r="C66" s="738" t="s">
        <v>857</v>
      </c>
      <c r="D66" s="930" t="s">
        <v>600</v>
      </c>
      <c r="E66" s="931"/>
      <c r="F66" s="931"/>
      <c r="G66" s="931"/>
      <c r="H66" s="932"/>
      <c r="J66" s="5"/>
      <c r="K66" s="5"/>
      <c r="L66" s="5"/>
    </row>
    <row r="67" spans="1:12" s="1" customFormat="1">
      <c r="A67" s="835"/>
      <c r="B67" s="165" t="s">
        <v>1108</v>
      </c>
      <c r="C67" s="627">
        <v>1400</v>
      </c>
      <c r="D67" s="492"/>
      <c r="H67" s="42"/>
    </row>
    <row r="68" spans="1:12" s="1" customFormat="1">
      <c r="A68" s="835"/>
      <c r="B68" s="165" t="s">
        <v>601</v>
      </c>
      <c r="C68" s="627">
        <v>1500</v>
      </c>
      <c r="D68" s="492"/>
      <c r="H68" s="42"/>
    </row>
    <row r="69" spans="1:12" s="1" customFormat="1">
      <c r="A69" s="835"/>
      <c r="B69" s="165" t="s">
        <v>602</v>
      </c>
      <c r="C69" s="627">
        <v>1700</v>
      </c>
      <c r="D69" s="492"/>
      <c r="H69" s="42"/>
    </row>
    <row r="70" spans="1:12" s="1" customFormat="1">
      <c r="A70" s="835"/>
      <c r="B70" s="165" t="s">
        <v>603</v>
      </c>
      <c r="C70" s="627">
        <v>1900</v>
      </c>
      <c r="D70" s="492"/>
      <c r="H70" s="42"/>
    </row>
    <row r="71" spans="1:12" s="1" customFormat="1">
      <c r="A71" s="835"/>
      <c r="B71" s="165" t="s">
        <v>604</v>
      </c>
      <c r="C71" s="627">
        <v>2720</v>
      </c>
      <c r="D71" s="492"/>
      <c r="H71" s="42"/>
    </row>
    <row r="72" spans="1:12" s="1" customFormat="1">
      <c r="A72" s="835"/>
      <c r="B72" s="165" t="s">
        <v>1176</v>
      </c>
      <c r="C72" s="627">
        <f>H62/10000</f>
        <v>2720.2823529411762</v>
      </c>
      <c r="D72" s="492"/>
      <c r="H72" s="42"/>
    </row>
    <row r="73" spans="1:12" s="1" customFormat="1">
      <c r="A73" s="835"/>
      <c r="B73" s="165" t="s">
        <v>1182</v>
      </c>
      <c r="C73" s="627"/>
      <c r="D73" s="492"/>
      <c r="H73" s="42"/>
    </row>
    <row r="74" spans="1:12" s="1" customFormat="1">
      <c r="A74" s="835"/>
      <c r="B74" s="165" t="s">
        <v>1183</v>
      </c>
      <c r="C74" s="627"/>
      <c r="D74" s="492"/>
      <c r="H74" s="42"/>
    </row>
    <row r="75" spans="1:12" s="1" customFormat="1" ht="17.5" thickBot="1">
      <c r="A75" s="836"/>
      <c r="B75" s="165" t="s">
        <v>1107</v>
      </c>
      <c r="C75" s="628"/>
      <c r="D75" s="493"/>
      <c r="E75" s="486"/>
      <c r="F75" s="486"/>
      <c r="G75" s="486"/>
      <c r="H75" s="487"/>
    </row>
    <row r="76" spans="1:12" s="1" customFormat="1">
      <c r="A76" s="826" t="s">
        <v>650</v>
      </c>
      <c r="B76" s="564"/>
      <c r="C76" s="565"/>
      <c r="D76" s="566"/>
      <c r="E76" s="559"/>
      <c r="F76" s="559"/>
      <c r="G76" s="559"/>
      <c r="H76" s="567"/>
    </row>
    <row r="77" spans="1:12" s="1" customFormat="1">
      <c r="A77" s="827"/>
      <c r="B77" s="206"/>
      <c r="C77" s="78"/>
      <c r="D77" s="79"/>
      <c r="E77" s="76"/>
      <c r="F77" s="76"/>
      <c r="G77" s="76"/>
      <c r="H77" s="114"/>
    </row>
    <row r="78" spans="1:12" s="1" customFormat="1">
      <c r="A78" s="827"/>
      <c r="B78" s="206"/>
      <c r="C78" s="78"/>
      <c r="D78" s="79"/>
      <c r="E78" s="76"/>
      <c r="F78" s="76"/>
      <c r="G78" s="76"/>
      <c r="H78" s="114"/>
    </row>
    <row r="79" spans="1:12" s="1" customFormat="1">
      <c r="A79" s="827"/>
      <c r="B79" s="206"/>
      <c r="C79" s="78"/>
      <c r="D79" s="79"/>
      <c r="E79" s="76"/>
      <c r="F79" s="76"/>
      <c r="G79" s="76"/>
      <c r="H79" s="114"/>
    </row>
    <row r="80" spans="1:12" s="1" customFormat="1">
      <c r="A80" s="827"/>
      <c r="B80" s="206"/>
      <c r="C80" s="78"/>
      <c r="D80" s="79"/>
      <c r="E80" s="76"/>
      <c r="F80" s="76"/>
      <c r="G80" s="76"/>
      <c r="H80" s="114"/>
    </row>
    <row r="81" spans="1:8" s="1" customFormat="1">
      <c r="A81" s="827"/>
      <c r="B81" s="206"/>
      <c r="C81" s="78"/>
      <c r="D81" s="79"/>
      <c r="E81" s="76"/>
      <c r="F81" s="76"/>
      <c r="G81" s="76"/>
      <c r="H81" s="114"/>
    </row>
    <row r="82" spans="1:8" s="1" customFormat="1" ht="16.5" thickBot="1">
      <c r="A82" s="828"/>
      <c r="B82" s="568"/>
      <c r="C82" s="569"/>
      <c r="D82" s="570"/>
      <c r="E82" s="571"/>
      <c r="F82" s="571"/>
      <c r="G82" s="571"/>
      <c r="H82" s="572"/>
    </row>
  </sheetData>
  <mergeCells count="20">
    <mergeCell ref="A1:H1"/>
    <mergeCell ref="A2:A18"/>
    <mergeCell ref="D7:E7"/>
    <mergeCell ref="G7:H7"/>
    <mergeCell ref="B17:B18"/>
    <mergeCell ref="C5:D5"/>
    <mergeCell ref="C6:D6"/>
    <mergeCell ref="F10:H10"/>
    <mergeCell ref="C3:H3"/>
    <mergeCell ref="C2:H2"/>
    <mergeCell ref="A20:A28"/>
    <mergeCell ref="A30:A41"/>
    <mergeCell ref="A43:A53"/>
    <mergeCell ref="F14:G14"/>
    <mergeCell ref="F15:H15"/>
    <mergeCell ref="I55:I61"/>
    <mergeCell ref="A66:A75"/>
    <mergeCell ref="D66:H66"/>
    <mergeCell ref="A76:A82"/>
    <mergeCell ref="A55:A65"/>
  </mergeCells>
  <phoneticPr fontId="16" type="noConversion"/>
  <pageMargins left="0.69972223043441772" right="0.69972223043441772" top="0.75" bottom="0.75" header="0.30000001192092896" footer="0.30000001192092896"/>
  <pageSetup paperSize="9" scale="53" orientation="portrait" horizontalDpi="4294967293" verticalDpi="4294967293" r:id="rId1"/>
  <rowBreaks count="2" manualBreakCount="2">
    <brk id="65" max="1048575" man="1"/>
    <brk id="89" max="1048575" man="1"/>
  </rowBreaks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>
    <tabColor rgb="FFFF0000"/>
  </sheetPr>
  <dimension ref="A1:L76"/>
  <sheetViews>
    <sheetView showGridLines="0" topLeftCell="A45" zoomScale="85" zoomScaleNormal="85" zoomScaleSheetLayoutView="85" workbookViewId="0">
      <selection activeCell="C65" sqref="C65"/>
    </sheetView>
  </sheetViews>
  <sheetFormatPr defaultColWidth="13.4140625" defaultRowHeight="16"/>
  <cols>
    <col min="1" max="1" width="6.4140625" style="76" customWidth="1"/>
    <col min="2" max="2" width="18.5" style="77" bestFit="1" customWidth="1"/>
    <col min="3" max="3" width="26.08203125" style="78" bestFit="1" customWidth="1"/>
    <col min="4" max="4" width="18.25" style="79" bestFit="1" customWidth="1"/>
    <col min="5" max="5" width="13.9140625" style="76" bestFit="1" customWidth="1"/>
    <col min="6" max="6" width="15.75" style="76" bestFit="1" customWidth="1"/>
    <col min="7" max="7" width="14" style="76" bestFit="1" customWidth="1"/>
    <col min="8" max="8" width="16.9140625" style="76" bestFit="1" customWidth="1"/>
    <col min="9" max="9" width="26.33203125" style="76" bestFit="1" customWidth="1"/>
    <col min="10" max="11" width="13.4140625" style="76" bestFit="1" customWidth="1"/>
    <col min="12" max="16384" width="13.4140625" style="76"/>
  </cols>
  <sheetData>
    <row r="1" spans="1:8" ht="31.5" customHeight="1">
      <c r="A1" s="927" t="s">
        <v>76</v>
      </c>
      <c r="B1" s="927"/>
      <c r="C1" s="927"/>
      <c r="D1" s="927"/>
      <c r="E1" s="927"/>
      <c r="F1" s="927"/>
      <c r="G1" s="927"/>
      <c r="H1" s="927"/>
    </row>
    <row r="2" spans="1:8" ht="15.5" customHeight="1">
      <c r="A2" s="955" t="s">
        <v>112</v>
      </c>
      <c r="B2" s="6" t="s">
        <v>420</v>
      </c>
      <c r="C2" s="852" t="s">
        <v>1119</v>
      </c>
      <c r="D2" s="852"/>
      <c r="E2" s="852"/>
      <c r="F2" s="852"/>
      <c r="G2" s="852"/>
      <c r="H2" s="852"/>
    </row>
    <row r="3" spans="1:8" ht="15" customHeight="1">
      <c r="A3" s="958"/>
      <c r="B3" s="11" t="s">
        <v>471</v>
      </c>
      <c r="C3" s="851" t="s">
        <v>1120</v>
      </c>
      <c r="D3" s="851"/>
      <c r="E3" s="851"/>
      <c r="F3" s="851"/>
      <c r="G3" s="851"/>
      <c r="H3" s="851"/>
    </row>
    <row r="4" spans="1:8">
      <c r="A4" s="958"/>
      <c r="B4" s="11" t="s">
        <v>407</v>
      </c>
      <c r="C4" s="81" t="s">
        <v>24</v>
      </c>
      <c r="D4" s="82"/>
      <c r="E4" s="83"/>
      <c r="F4" s="83"/>
      <c r="G4" s="83"/>
      <c r="H4" s="84"/>
    </row>
    <row r="5" spans="1:8">
      <c r="A5" s="955"/>
      <c r="B5" s="11" t="s">
        <v>58</v>
      </c>
      <c r="C5" s="845" t="s">
        <v>263</v>
      </c>
      <c r="D5" s="846"/>
      <c r="E5" s="85"/>
      <c r="F5" s="85"/>
      <c r="G5" s="85"/>
      <c r="H5" s="86"/>
    </row>
    <row r="6" spans="1:8">
      <c r="A6" s="958"/>
      <c r="B6" s="11" t="s">
        <v>53</v>
      </c>
      <c r="C6" s="845"/>
      <c r="D6" s="847"/>
      <c r="E6" s="85"/>
      <c r="F6" s="85"/>
      <c r="G6" s="85"/>
      <c r="H6" s="86"/>
    </row>
    <row r="7" spans="1:8">
      <c r="A7" s="937"/>
      <c r="B7" s="16" t="s">
        <v>99</v>
      </c>
      <c r="C7" s="87">
        <v>44278.8</v>
      </c>
      <c r="D7" s="840" t="s">
        <v>231</v>
      </c>
      <c r="E7" s="841"/>
      <c r="F7" s="470">
        <f>C7*0.3025/C9</f>
        <v>38.269534285714286</v>
      </c>
      <c r="G7" s="842" t="s">
        <v>524</v>
      </c>
      <c r="H7" s="843"/>
    </row>
    <row r="8" spans="1:8">
      <c r="A8" s="937"/>
      <c r="B8" s="16" t="s">
        <v>425</v>
      </c>
      <c r="C8" s="87">
        <v>10</v>
      </c>
      <c r="D8" s="88"/>
      <c r="E8" s="83"/>
      <c r="F8" s="83"/>
      <c r="G8" s="83"/>
      <c r="H8" s="84"/>
    </row>
    <row r="9" spans="1:8">
      <c r="A9" s="937"/>
      <c r="B9" s="16" t="s">
        <v>335</v>
      </c>
      <c r="C9" s="87">
        <v>350</v>
      </c>
      <c r="D9" s="89" t="s">
        <v>39</v>
      </c>
      <c r="E9" s="90">
        <f>C9/C11</f>
        <v>0.38759689922480622</v>
      </c>
      <c r="F9" s="88"/>
      <c r="G9" s="83"/>
      <c r="H9" s="84"/>
    </row>
    <row r="10" spans="1:8">
      <c r="A10" s="937"/>
      <c r="B10" s="16" t="s">
        <v>54</v>
      </c>
      <c r="C10" s="471">
        <f>C11-C9</f>
        <v>553</v>
      </c>
      <c r="D10" s="89" t="s">
        <v>145</v>
      </c>
      <c r="E10" s="472">
        <f>C10/C11</f>
        <v>0.61240310077519378</v>
      </c>
      <c r="F10" s="848" t="s">
        <v>29</v>
      </c>
      <c r="G10" s="849"/>
      <c r="H10" s="850"/>
    </row>
    <row r="11" spans="1:8">
      <c r="A11" s="937"/>
      <c r="B11" s="16" t="s">
        <v>150</v>
      </c>
      <c r="C11" s="87">
        <v>903</v>
      </c>
      <c r="D11" s="91" t="s">
        <v>321</v>
      </c>
      <c r="E11" s="83" t="s">
        <v>30</v>
      </c>
      <c r="F11" s="83"/>
      <c r="G11" s="83"/>
      <c r="H11" s="84"/>
    </row>
    <row r="12" spans="1:8">
      <c r="A12" s="937"/>
      <c r="B12" s="16" t="s">
        <v>427</v>
      </c>
      <c r="C12" s="92">
        <v>0.1741</v>
      </c>
      <c r="D12" s="93" t="s">
        <v>84</v>
      </c>
      <c r="E12" s="94">
        <f>C7*C12</f>
        <v>7708.939080000001</v>
      </c>
      <c r="F12" s="95" t="s">
        <v>41</v>
      </c>
      <c r="G12" s="96">
        <f>E13/E12</f>
        <v>15.522113727742676</v>
      </c>
      <c r="H12" s="97"/>
    </row>
    <row r="13" spans="1:8">
      <c r="A13" s="937"/>
      <c r="B13" s="16" t="s">
        <v>466</v>
      </c>
      <c r="C13" s="92">
        <v>2.7023999999999999</v>
      </c>
      <c r="D13" s="93" t="s">
        <v>91</v>
      </c>
      <c r="E13" s="98">
        <f>C7*C13</f>
        <v>119659.02912000001</v>
      </c>
      <c r="F13" s="95" t="s">
        <v>209</v>
      </c>
      <c r="G13" s="473">
        <f>E13*76%</f>
        <v>90940.862131200003</v>
      </c>
      <c r="H13" s="99"/>
    </row>
    <row r="14" spans="1:8">
      <c r="A14" s="937"/>
      <c r="B14" s="16" t="s">
        <v>208</v>
      </c>
      <c r="C14" s="100" t="s">
        <v>226</v>
      </c>
      <c r="D14" s="88"/>
      <c r="E14" s="83"/>
      <c r="F14" s="840" t="s">
        <v>234</v>
      </c>
      <c r="G14" s="841"/>
      <c r="H14" s="367">
        <f>G13/C37</f>
        <v>1.3510349140004754</v>
      </c>
    </row>
    <row r="15" spans="1:8" ht="15" customHeight="1">
      <c r="A15" s="937"/>
      <c r="B15" s="16" t="s">
        <v>441</v>
      </c>
      <c r="C15" s="101" t="s">
        <v>166</v>
      </c>
      <c r="D15" s="102"/>
      <c r="E15" s="103"/>
      <c r="F15" s="848" t="s">
        <v>392</v>
      </c>
      <c r="G15" s="849"/>
      <c r="H15" s="850"/>
    </row>
    <row r="16" spans="1:8">
      <c r="A16" s="937"/>
      <c r="B16" s="32" t="s">
        <v>87</v>
      </c>
      <c r="C16" s="100" t="s">
        <v>418</v>
      </c>
      <c r="D16" s="104"/>
      <c r="E16" s="83"/>
      <c r="F16" s="83"/>
      <c r="G16" s="83"/>
      <c r="H16" s="84"/>
    </row>
    <row r="17" spans="1:8" ht="15" customHeight="1">
      <c r="A17" s="955"/>
      <c r="B17" s="844" t="s">
        <v>470</v>
      </c>
      <c r="C17" s="105" t="s">
        <v>2</v>
      </c>
      <c r="D17" s="105"/>
      <c r="E17" s="106"/>
      <c r="F17" s="106"/>
      <c r="G17" s="106"/>
      <c r="H17" s="107"/>
    </row>
    <row r="18" spans="1:8">
      <c r="A18" s="938"/>
      <c r="B18" s="844"/>
      <c r="C18" s="108" t="s">
        <v>14</v>
      </c>
      <c r="D18" s="109"/>
      <c r="E18" s="110"/>
      <c r="F18" s="110"/>
      <c r="G18" s="110"/>
      <c r="H18" s="111"/>
    </row>
    <row r="19" spans="1:8" ht="5.25" customHeight="1">
      <c r="A19" s="112"/>
      <c r="B19" s="40"/>
      <c r="C19" s="113"/>
      <c r="D19" s="113"/>
      <c r="H19" s="114"/>
    </row>
    <row r="20" spans="1:8">
      <c r="A20" s="955" t="s">
        <v>49</v>
      </c>
      <c r="B20" s="43" t="s">
        <v>174</v>
      </c>
      <c r="C20" s="115" t="s">
        <v>301</v>
      </c>
      <c r="D20" s="116"/>
      <c r="E20" s="117"/>
      <c r="F20" s="117"/>
      <c r="G20" s="117"/>
      <c r="H20" s="118"/>
    </row>
    <row r="21" spans="1:8">
      <c r="A21" s="956"/>
      <c r="B21" s="25" t="s">
        <v>65</v>
      </c>
      <c r="C21" s="119" t="s">
        <v>329</v>
      </c>
      <c r="D21" s="120"/>
      <c r="E21" s="83"/>
      <c r="F21" s="83"/>
      <c r="G21" s="83"/>
      <c r="H21" s="84"/>
    </row>
    <row r="22" spans="1:8">
      <c r="A22" s="955"/>
      <c r="B22" s="25" t="s">
        <v>351</v>
      </c>
      <c r="C22" s="93" t="s">
        <v>239</v>
      </c>
      <c r="D22" s="120"/>
      <c r="E22" s="83"/>
      <c r="F22" s="83"/>
      <c r="G22" s="83"/>
      <c r="H22" s="84"/>
    </row>
    <row r="23" spans="1:8">
      <c r="A23" s="956"/>
      <c r="B23" s="218" t="s">
        <v>95</v>
      </c>
      <c r="C23" s="93" t="s">
        <v>323</v>
      </c>
      <c r="D23" s="120"/>
      <c r="E23" s="83"/>
      <c r="F23" s="83"/>
      <c r="G23" s="83"/>
      <c r="H23" s="84"/>
    </row>
    <row r="24" spans="1:8">
      <c r="A24" s="955"/>
      <c r="B24" s="25" t="s">
        <v>59</v>
      </c>
      <c r="C24" s="93" t="s">
        <v>333</v>
      </c>
      <c r="D24" s="120"/>
      <c r="E24" s="83"/>
      <c r="F24" s="83"/>
      <c r="G24" s="83"/>
      <c r="H24" s="84"/>
    </row>
    <row r="25" spans="1:8">
      <c r="A25" s="956"/>
      <c r="B25" s="25" t="s">
        <v>452</v>
      </c>
      <c r="C25" s="93" t="s">
        <v>359</v>
      </c>
      <c r="D25" s="91"/>
      <c r="E25" s="83"/>
      <c r="F25" s="83"/>
      <c r="G25" s="83"/>
      <c r="H25" s="84"/>
    </row>
    <row r="26" spans="1:8">
      <c r="A26" s="956"/>
      <c r="B26" s="25" t="s">
        <v>445</v>
      </c>
      <c r="C26" s="93" t="s">
        <v>259</v>
      </c>
      <c r="D26" s="91"/>
      <c r="E26" s="83"/>
      <c r="F26" s="83"/>
      <c r="G26" s="83"/>
      <c r="H26" s="84"/>
    </row>
    <row r="27" spans="1:8">
      <c r="A27" s="956"/>
      <c r="B27" s="25" t="s">
        <v>167</v>
      </c>
      <c r="C27" s="93" t="s">
        <v>266</v>
      </c>
      <c r="D27" s="91"/>
      <c r="E27" s="83"/>
      <c r="F27" s="83"/>
      <c r="G27" s="83"/>
      <c r="H27" s="84"/>
    </row>
    <row r="28" spans="1:8">
      <c r="A28" s="957"/>
      <c r="B28" s="25" t="s">
        <v>447</v>
      </c>
      <c r="C28" s="93" t="s">
        <v>275</v>
      </c>
      <c r="D28" s="123"/>
      <c r="E28" s="110"/>
      <c r="F28" s="110"/>
      <c r="G28" s="110"/>
      <c r="H28" s="111"/>
    </row>
    <row r="29" spans="1:8" ht="5.25" customHeight="1">
      <c r="A29" s="112"/>
      <c r="B29" s="40"/>
      <c r="C29" s="3"/>
      <c r="H29" s="114"/>
    </row>
    <row r="30" spans="1:8" s="80" customFormat="1" ht="13.5" customHeight="1">
      <c r="A30" s="955" t="s">
        <v>160</v>
      </c>
      <c r="B30" s="124" t="s">
        <v>101</v>
      </c>
      <c r="C30" s="125" t="s">
        <v>48</v>
      </c>
      <c r="D30" s="126" t="s">
        <v>125</v>
      </c>
      <c r="E30" s="126" t="s">
        <v>434</v>
      </c>
      <c r="F30" s="126" t="s">
        <v>414</v>
      </c>
      <c r="G30" s="127" t="s">
        <v>454</v>
      </c>
      <c r="H30" s="128" t="s">
        <v>470</v>
      </c>
    </row>
    <row r="31" spans="1:8">
      <c r="A31" s="956"/>
      <c r="B31" s="129" t="s">
        <v>438</v>
      </c>
      <c r="C31" s="130">
        <f>39*D31</f>
        <v>2028</v>
      </c>
      <c r="D31" s="87">
        <v>52</v>
      </c>
      <c r="E31" s="87"/>
      <c r="F31" s="87"/>
      <c r="G31" s="131">
        <f t="shared" ref="G31:G36" si="0">D31/$D$37</f>
        <v>5.7585825027685493E-2</v>
      </c>
      <c r="H31" s="132" t="s">
        <v>449</v>
      </c>
    </row>
    <row r="32" spans="1:8">
      <c r="A32" s="958"/>
      <c r="B32" s="129" t="s">
        <v>473</v>
      </c>
      <c r="C32" s="130">
        <f>59*D32</f>
        <v>18113</v>
      </c>
      <c r="D32" s="87">
        <v>307</v>
      </c>
      <c r="E32" s="87"/>
      <c r="F32" s="87"/>
      <c r="G32" s="131">
        <f t="shared" si="0"/>
        <v>0.33997785160575861</v>
      </c>
      <c r="H32" s="132"/>
    </row>
    <row r="33" spans="1:8">
      <c r="A33" s="955"/>
      <c r="B33" s="129" t="s">
        <v>475</v>
      </c>
      <c r="C33" s="130">
        <f>59*D33</f>
        <v>2655</v>
      </c>
      <c r="D33" s="87">
        <v>45</v>
      </c>
      <c r="E33" s="87"/>
      <c r="F33" s="87"/>
      <c r="G33" s="131">
        <f t="shared" si="0"/>
        <v>4.9833887043189369E-2</v>
      </c>
      <c r="H33" s="132"/>
    </row>
    <row r="34" spans="1:8">
      <c r="A34" s="956"/>
      <c r="B34" s="16" t="s">
        <v>472</v>
      </c>
      <c r="C34" s="130">
        <f>84*D34</f>
        <v>17052</v>
      </c>
      <c r="D34" s="87">
        <v>203</v>
      </c>
      <c r="E34" s="87"/>
      <c r="F34" s="87"/>
      <c r="G34" s="131">
        <f t="shared" si="0"/>
        <v>0.22480620155038761</v>
      </c>
      <c r="H34" s="132"/>
    </row>
    <row r="35" spans="1:8">
      <c r="A35" s="956"/>
      <c r="B35" s="129" t="s">
        <v>478</v>
      </c>
      <c r="C35" s="130">
        <f>84*D35</f>
        <v>16464</v>
      </c>
      <c r="D35" s="87">
        <v>196</v>
      </c>
      <c r="E35" s="87"/>
      <c r="F35" s="87"/>
      <c r="G35" s="131">
        <f t="shared" si="0"/>
        <v>0.21705426356589147</v>
      </c>
      <c r="H35" s="132"/>
    </row>
    <row r="36" spans="1:8">
      <c r="A36" s="955"/>
      <c r="B36" s="129" t="s">
        <v>426</v>
      </c>
      <c r="C36" s="130">
        <f>110*D36</f>
        <v>11000</v>
      </c>
      <c r="D36" s="87">
        <v>100</v>
      </c>
      <c r="E36" s="87"/>
      <c r="F36" s="87"/>
      <c r="G36" s="131">
        <f t="shared" si="0"/>
        <v>0.11074197120708748</v>
      </c>
      <c r="H36" s="132"/>
    </row>
    <row r="37" spans="1:8">
      <c r="A37" s="957"/>
      <c r="B37" s="129" t="s">
        <v>462</v>
      </c>
      <c r="C37" s="57">
        <f t="shared" ref="C37:H37" si="1">SUM(C31:C36)</f>
        <v>67312</v>
      </c>
      <c r="D37" s="57">
        <f t="shared" si="1"/>
        <v>903</v>
      </c>
      <c r="E37" s="57">
        <f t="shared" si="1"/>
        <v>0</v>
      </c>
      <c r="F37" s="57">
        <f t="shared" si="1"/>
        <v>0</v>
      </c>
      <c r="G37" s="135">
        <f t="shared" si="1"/>
        <v>1</v>
      </c>
      <c r="H37" s="57">
        <f t="shared" si="1"/>
        <v>0</v>
      </c>
    </row>
    <row r="38" spans="1:8" ht="6" customHeight="1">
      <c r="A38" s="112"/>
      <c r="B38" s="40"/>
      <c r="C38" s="3"/>
      <c r="H38" s="114"/>
    </row>
    <row r="39" spans="1:8" s="77" customFormat="1">
      <c r="A39" s="959" t="s">
        <v>33</v>
      </c>
      <c r="B39" s="124" t="s">
        <v>451</v>
      </c>
      <c r="C39" s="126" t="s">
        <v>901</v>
      </c>
      <c r="D39" s="126" t="s">
        <v>902</v>
      </c>
      <c r="E39" s="466" t="s">
        <v>43</v>
      </c>
      <c r="F39" s="126" t="s">
        <v>903</v>
      </c>
      <c r="G39" s="467" t="s">
        <v>172</v>
      </c>
      <c r="H39" s="137" t="s">
        <v>470</v>
      </c>
    </row>
    <row r="40" spans="1:8" ht="16.5" customHeight="1">
      <c r="A40" s="960"/>
      <c r="B40" s="129" t="s">
        <v>438</v>
      </c>
      <c r="C40" s="138" t="s">
        <v>436</v>
      </c>
      <c r="D40" s="139" t="s">
        <v>436</v>
      </c>
      <c r="E40" s="362" t="e">
        <f>(D40-C40)*17</f>
        <v>#VALUE!</v>
      </c>
      <c r="F40" s="139" t="s">
        <v>436</v>
      </c>
      <c r="G40" s="362" t="e">
        <f>(F40-C40)*17</f>
        <v>#VALUE!</v>
      </c>
      <c r="H40" s="140" t="s">
        <v>449</v>
      </c>
    </row>
    <row r="41" spans="1:8" ht="16.5" customHeight="1">
      <c r="A41" s="961"/>
      <c r="B41" s="129" t="s">
        <v>473</v>
      </c>
      <c r="C41" s="138"/>
      <c r="D41" s="139"/>
      <c r="E41" s="362">
        <f>(D41-C41)*25</f>
        <v>0</v>
      </c>
      <c r="F41" s="139" t="s">
        <v>436</v>
      </c>
      <c r="G41" s="362" t="e">
        <f>(F41-C41)*25</f>
        <v>#VALUE!</v>
      </c>
      <c r="H41" s="140"/>
    </row>
    <row r="42" spans="1:8" ht="16.5" customHeight="1">
      <c r="A42" s="959"/>
      <c r="B42" s="129" t="s">
        <v>475</v>
      </c>
      <c r="C42" s="138"/>
      <c r="D42" s="139"/>
      <c r="E42" s="362">
        <f>(D42-C42)*25</f>
        <v>0</v>
      </c>
      <c r="F42" s="139" t="s">
        <v>436</v>
      </c>
      <c r="G42" s="362" t="e">
        <f>(F42-C42)*25</f>
        <v>#VALUE!</v>
      </c>
      <c r="H42" s="140"/>
    </row>
    <row r="43" spans="1:8" ht="16.5" customHeight="1">
      <c r="A43" s="960"/>
      <c r="B43" s="16" t="s">
        <v>294</v>
      </c>
      <c r="C43" s="726">
        <v>13300000</v>
      </c>
      <c r="D43" s="139">
        <v>14400000</v>
      </c>
      <c r="E43" s="362">
        <f>(D43-C43)*34</f>
        <v>37400000</v>
      </c>
      <c r="F43" s="727">
        <v>23520000</v>
      </c>
      <c r="G43" s="362">
        <f>(F43-C43)*34</f>
        <v>347480000</v>
      </c>
      <c r="H43" s="140" t="s">
        <v>1181</v>
      </c>
    </row>
    <row r="44" spans="1:8" ht="16.5" customHeight="1">
      <c r="A44" s="960"/>
      <c r="B44" s="129" t="s">
        <v>478</v>
      </c>
      <c r="C44" s="138"/>
      <c r="D44" s="139"/>
      <c r="E44" s="362">
        <f>(D44-C44)*34</f>
        <v>0</v>
      </c>
      <c r="F44" s="139" t="s">
        <v>436</v>
      </c>
      <c r="G44" s="362" t="e">
        <f>(F44-C44)*34</f>
        <v>#VALUE!</v>
      </c>
      <c r="H44" s="140"/>
    </row>
    <row r="45" spans="1:8" ht="16.5" customHeight="1">
      <c r="A45" s="960"/>
      <c r="B45" s="129" t="s">
        <v>426</v>
      </c>
      <c r="C45" s="138"/>
      <c r="D45" s="139"/>
      <c r="E45" s="362">
        <f>(D45-C45)*45</f>
        <v>0</v>
      </c>
      <c r="F45" s="139" t="s">
        <v>436</v>
      </c>
      <c r="G45" s="362" t="e">
        <f>(F45-C45)*45</f>
        <v>#VALUE!</v>
      </c>
      <c r="H45" s="140"/>
    </row>
    <row r="46" spans="1:8" ht="16.5" customHeight="1">
      <c r="A46" s="959"/>
      <c r="B46" s="129"/>
      <c r="C46" s="141"/>
      <c r="D46" s="139"/>
      <c r="E46" s="362"/>
      <c r="F46" s="139"/>
      <c r="G46" s="362"/>
      <c r="H46" s="140"/>
    </row>
    <row r="47" spans="1:8" ht="16.5" customHeight="1">
      <c r="A47" s="960"/>
      <c r="B47" s="129"/>
      <c r="C47" s="141"/>
      <c r="D47" s="139"/>
      <c r="E47" s="362"/>
      <c r="F47" s="139"/>
      <c r="G47" s="362"/>
      <c r="H47" s="140"/>
    </row>
    <row r="48" spans="1:8" ht="16.5" customHeight="1">
      <c r="A48" s="959"/>
      <c r="B48" s="129"/>
      <c r="C48" s="141"/>
      <c r="D48" s="139"/>
      <c r="E48" s="362"/>
      <c r="F48" s="139"/>
      <c r="G48" s="362"/>
      <c r="H48" s="140"/>
    </row>
    <row r="49" spans="1:12" ht="16.5" customHeight="1">
      <c r="A49" s="960"/>
      <c r="B49" s="129"/>
      <c r="C49" s="141"/>
      <c r="D49" s="139"/>
      <c r="E49" s="362"/>
      <c r="F49" s="139"/>
      <c r="G49" s="362"/>
      <c r="H49" s="140"/>
    </row>
    <row r="50" spans="1:12" ht="5.25" customHeight="1" thickBot="1">
      <c r="A50" s="142"/>
      <c r="B50" s="143"/>
      <c r="C50" s="144"/>
      <c r="D50" s="144"/>
      <c r="E50" s="145"/>
      <c r="F50" s="144"/>
      <c r="G50" s="145"/>
      <c r="H50" s="146"/>
    </row>
    <row r="51" spans="1:12" ht="60.15" customHeight="1">
      <c r="A51" s="952" t="s">
        <v>286</v>
      </c>
      <c r="B51" s="126" t="s">
        <v>101</v>
      </c>
      <c r="C51" s="508" t="s">
        <v>1395</v>
      </c>
      <c r="D51" s="147" t="s">
        <v>247</v>
      </c>
      <c r="E51" s="468" t="s">
        <v>322</v>
      </c>
      <c r="F51" s="147" t="s">
        <v>222</v>
      </c>
      <c r="G51" s="468" t="s">
        <v>367</v>
      </c>
      <c r="H51" s="126" t="s">
        <v>1136</v>
      </c>
      <c r="I51" s="824" t="s">
        <v>1206</v>
      </c>
    </row>
    <row r="52" spans="1:12">
      <c r="A52" s="953"/>
      <c r="B52" s="213" t="s">
        <v>438</v>
      </c>
      <c r="C52" s="148" t="s">
        <v>436</v>
      </c>
      <c r="D52" s="139" t="e">
        <f t="shared" ref="D52:D57" si="2">E40</f>
        <v>#VALUE!</v>
      </c>
      <c r="E52" s="362" t="e">
        <f t="shared" ref="E52:E57" si="3">D52-C52</f>
        <v>#VALUE!</v>
      </c>
      <c r="F52" s="139" t="e">
        <f t="shared" ref="F52:F57" si="4">G40</f>
        <v>#VALUE!</v>
      </c>
      <c r="G52" s="362" t="e">
        <f t="shared" ref="G52:G57" si="5">F52-C52</f>
        <v>#VALUE!</v>
      </c>
      <c r="H52" s="739"/>
      <c r="I52" s="825"/>
    </row>
    <row r="53" spans="1:12">
      <c r="A53" s="953"/>
      <c r="B53" s="213" t="s">
        <v>473</v>
      </c>
      <c r="C53" s="148" t="s">
        <v>436</v>
      </c>
      <c r="D53" s="139">
        <f t="shared" si="2"/>
        <v>0</v>
      </c>
      <c r="E53" s="362" t="e">
        <f t="shared" si="3"/>
        <v>#VALUE!</v>
      </c>
      <c r="F53" s="139" t="e">
        <f t="shared" si="4"/>
        <v>#VALUE!</v>
      </c>
      <c r="G53" s="362" t="e">
        <f t="shared" si="5"/>
        <v>#VALUE!</v>
      </c>
      <c r="H53" s="739"/>
      <c r="I53" s="825"/>
    </row>
    <row r="54" spans="1:12">
      <c r="A54" s="953"/>
      <c r="B54" s="213" t="s">
        <v>475</v>
      </c>
      <c r="C54" s="148" t="s">
        <v>436</v>
      </c>
      <c r="D54" s="139">
        <f t="shared" si="2"/>
        <v>0</v>
      </c>
      <c r="E54" s="362" t="e">
        <f t="shared" si="3"/>
        <v>#VALUE!</v>
      </c>
      <c r="F54" s="139" t="e">
        <f t="shared" si="4"/>
        <v>#VALUE!</v>
      </c>
      <c r="G54" s="362" t="e">
        <f t="shared" si="5"/>
        <v>#VALUE!</v>
      </c>
      <c r="H54" s="739"/>
      <c r="I54" s="825"/>
    </row>
    <row r="55" spans="1:12" ht="17">
      <c r="A55" s="953"/>
      <c r="B55" s="25" t="s">
        <v>472</v>
      </c>
      <c r="C55" s="148">
        <v>570000000</v>
      </c>
      <c r="D55" s="139">
        <f t="shared" si="2"/>
        <v>37400000</v>
      </c>
      <c r="E55" s="362">
        <f t="shared" si="3"/>
        <v>-532600000</v>
      </c>
      <c r="F55" s="139">
        <f t="shared" si="4"/>
        <v>347480000</v>
      </c>
      <c r="G55" s="362">
        <f t="shared" si="5"/>
        <v>-222520000</v>
      </c>
      <c r="H55" s="62">
        <f>(C55+(C43*34))/34</f>
        <v>30064705.882352941</v>
      </c>
      <c r="I55" s="751">
        <f>H55/F43</f>
        <v>1.2782613045218087</v>
      </c>
    </row>
    <row r="56" spans="1:12">
      <c r="A56" s="953"/>
      <c r="B56" s="213" t="s">
        <v>478</v>
      </c>
      <c r="C56" s="148" t="s">
        <v>436</v>
      </c>
      <c r="D56" s="139">
        <f t="shared" si="2"/>
        <v>0</v>
      </c>
      <c r="E56" s="362" t="e">
        <f t="shared" si="3"/>
        <v>#VALUE!</v>
      </c>
      <c r="F56" s="139" t="e">
        <f t="shared" si="4"/>
        <v>#VALUE!</v>
      </c>
      <c r="G56" s="362" t="e">
        <f t="shared" si="5"/>
        <v>#VALUE!</v>
      </c>
      <c r="H56" s="739"/>
      <c r="I56" s="140"/>
    </row>
    <row r="57" spans="1:12" ht="16.5" thickBot="1">
      <c r="A57" s="954"/>
      <c r="B57" s="175" t="s">
        <v>426</v>
      </c>
      <c r="C57" s="240" t="s">
        <v>436</v>
      </c>
      <c r="D57" s="179">
        <f t="shared" si="2"/>
        <v>0</v>
      </c>
      <c r="E57" s="363" t="e">
        <f t="shared" si="3"/>
        <v>#VALUE!</v>
      </c>
      <c r="F57" s="179" t="e">
        <f t="shared" si="4"/>
        <v>#VALUE!</v>
      </c>
      <c r="G57" s="363" t="e">
        <f t="shared" si="5"/>
        <v>#VALUE!</v>
      </c>
      <c r="H57" s="740"/>
      <c r="I57" s="180"/>
    </row>
    <row r="58" spans="1:12" s="1" customFormat="1">
      <c r="A58" s="929" t="s">
        <v>598</v>
      </c>
      <c r="B58" s="741" t="s">
        <v>599</v>
      </c>
      <c r="C58" s="738" t="s">
        <v>857</v>
      </c>
      <c r="D58" s="930" t="s">
        <v>600</v>
      </c>
      <c r="E58" s="931"/>
      <c r="F58" s="931"/>
      <c r="G58" s="931"/>
      <c r="H58" s="932"/>
      <c r="J58" s="5"/>
      <c r="K58" s="5"/>
      <c r="L58" s="5"/>
    </row>
    <row r="59" spans="1:12" s="1" customFormat="1">
      <c r="A59" s="835"/>
      <c r="B59" s="165" t="s">
        <v>1108</v>
      </c>
      <c r="C59" s="627">
        <v>1700</v>
      </c>
      <c r="D59" s="492"/>
      <c r="H59" s="42"/>
    </row>
    <row r="60" spans="1:12" s="1" customFormat="1">
      <c r="A60" s="835"/>
      <c r="B60" s="165" t="s">
        <v>601</v>
      </c>
      <c r="C60" s="627">
        <v>1800</v>
      </c>
      <c r="D60" s="492"/>
      <c r="H60" s="42"/>
    </row>
    <row r="61" spans="1:12" s="1" customFormat="1">
      <c r="A61" s="835"/>
      <c r="B61" s="165" t="s">
        <v>602</v>
      </c>
      <c r="C61" s="627">
        <v>2065</v>
      </c>
      <c r="D61" s="492"/>
      <c r="H61" s="42"/>
    </row>
    <row r="62" spans="1:12" s="1" customFormat="1">
      <c r="A62" s="835"/>
      <c r="B62" s="165" t="s">
        <v>603</v>
      </c>
      <c r="C62" s="627">
        <v>2447</v>
      </c>
      <c r="D62" s="492"/>
      <c r="H62" s="42"/>
    </row>
    <row r="63" spans="1:12" s="1" customFormat="1">
      <c r="A63" s="835"/>
      <c r="B63" s="165" t="s">
        <v>604</v>
      </c>
      <c r="C63" s="627">
        <v>3006</v>
      </c>
      <c r="D63" s="492"/>
      <c r="H63" s="42"/>
    </row>
    <row r="64" spans="1:12" s="1" customFormat="1">
      <c r="A64" s="835"/>
      <c r="B64" s="165" t="s">
        <v>1176</v>
      </c>
      <c r="C64" s="627">
        <f>H55/10000</f>
        <v>3006.4705882352941</v>
      </c>
      <c r="D64" s="492"/>
      <c r="H64" s="42"/>
    </row>
    <row r="65" spans="1:8" s="1" customFormat="1">
      <c r="A65" s="835"/>
      <c r="B65" s="165" t="s">
        <v>1182</v>
      </c>
      <c r="C65" s="627"/>
      <c r="D65" s="492"/>
      <c r="H65" s="42"/>
    </row>
    <row r="66" spans="1:8" s="1" customFormat="1">
      <c r="A66" s="835"/>
      <c r="B66" s="165" t="s">
        <v>1183</v>
      </c>
      <c r="C66" s="627"/>
      <c r="D66" s="492"/>
      <c r="H66" s="42"/>
    </row>
    <row r="67" spans="1:8" s="1" customFormat="1">
      <c r="A67" s="835"/>
      <c r="B67" s="165" t="s">
        <v>1170</v>
      </c>
      <c r="C67" s="627"/>
      <c r="D67" s="492"/>
      <c r="H67" s="42"/>
    </row>
    <row r="68" spans="1:8" s="1" customFormat="1">
      <c r="A68" s="835"/>
      <c r="B68" s="165" t="s">
        <v>1171</v>
      </c>
      <c r="C68" s="627"/>
      <c r="D68" s="492"/>
      <c r="H68" s="42"/>
    </row>
    <row r="69" spans="1:8" s="1" customFormat="1" ht="17.5" thickBot="1">
      <c r="A69" s="836"/>
      <c r="B69" s="165" t="s">
        <v>1109</v>
      </c>
      <c r="C69" s="628"/>
      <c r="D69" s="493"/>
      <c r="E69" s="486"/>
      <c r="F69" s="486"/>
      <c r="G69" s="486"/>
      <c r="H69" s="487"/>
    </row>
    <row r="70" spans="1:8" s="1" customFormat="1">
      <c r="A70" s="826" t="s">
        <v>650</v>
      </c>
      <c r="B70" s="564"/>
      <c r="C70" s="565"/>
      <c r="D70" s="566"/>
      <c r="E70" s="559"/>
      <c r="F70" s="559"/>
      <c r="G70" s="559"/>
      <c r="H70" s="567"/>
    </row>
    <row r="71" spans="1:8" s="1" customFormat="1">
      <c r="A71" s="827"/>
      <c r="B71" s="206"/>
      <c r="C71" s="78"/>
      <c r="D71" s="79"/>
      <c r="E71" s="76"/>
      <c r="F71" s="76"/>
      <c r="G71" s="76"/>
      <c r="H71" s="114"/>
    </row>
    <row r="72" spans="1:8" s="1" customFormat="1">
      <c r="A72" s="827"/>
      <c r="B72" s="206"/>
      <c r="C72" s="78"/>
      <c r="D72" s="79"/>
      <c r="E72" s="76"/>
      <c r="F72" s="76"/>
      <c r="G72" s="76"/>
      <c r="H72" s="114"/>
    </row>
    <row r="73" spans="1:8" s="1" customFormat="1">
      <c r="A73" s="827"/>
      <c r="B73" s="206"/>
      <c r="C73" s="78"/>
      <c r="D73" s="79"/>
      <c r="E73" s="76"/>
      <c r="F73" s="76"/>
      <c r="G73" s="76"/>
      <c r="H73" s="114"/>
    </row>
    <row r="74" spans="1:8" s="1" customFormat="1">
      <c r="A74" s="827"/>
      <c r="B74" s="206"/>
      <c r="C74" s="78"/>
      <c r="D74" s="79"/>
      <c r="E74" s="76"/>
      <c r="F74" s="76"/>
      <c r="G74" s="76"/>
      <c r="H74" s="114"/>
    </row>
    <row r="75" spans="1:8" s="1" customFormat="1">
      <c r="A75" s="827"/>
      <c r="B75" s="206"/>
      <c r="C75" s="78"/>
      <c r="D75" s="79"/>
      <c r="E75" s="76"/>
      <c r="F75" s="76"/>
      <c r="G75" s="76"/>
      <c r="H75" s="114"/>
    </row>
    <row r="76" spans="1:8" s="1" customFormat="1" ht="16.5" thickBot="1">
      <c r="A76" s="828"/>
      <c r="B76" s="568"/>
      <c r="C76" s="569"/>
      <c r="D76" s="570"/>
      <c r="E76" s="571"/>
      <c r="F76" s="571"/>
      <c r="G76" s="571"/>
      <c r="H76" s="572"/>
    </row>
  </sheetData>
  <mergeCells count="20">
    <mergeCell ref="A1:H1"/>
    <mergeCell ref="A2:A18"/>
    <mergeCell ref="D7:E7"/>
    <mergeCell ref="G7:H7"/>
    <mergeCell ref="B17:B18"/>
    <mergeCell ref="C5:D5"/>
    <mergeCell ref="C6:D6"/>
    <mergeCell ref="F10:H10"/>
    <mergeCell ref="C3:H3"/>
    <mergeCell ref="C2:H2"/>
    <mergeCell ref="A20:A28"/>
    <mergeCell ref="A30:A37"/>
    <mergeCell ref="A39:A49"/>
    <mergeCell ref="F14:G14"/>
    <mergeCell ref="F15:H15"/>
    <mergeCell ref="I51:I54"/>
    <mergeCell ref="A58:A69"/>
    <mergeCell ref="D58:H58"/>
    <mergeCell ref="A70:A76"/>
    <mergeCell ref="A51:A57"/>
  </mergeCells>
  <phoneticPr fontId="16" type="noConversion"/>
  <pageMargins left="0.69972223043441772" right="0.69972223043441772" top="0.75" bottom="0.75" header="0.30000001192092896" footer="0.30000001192092896"/>
  <pageSetup paperSize="9" scale="53" orientation="portrait" horizontalDpi="4294967293" verticalDpi="4294967293" r:id="rId1"/>
  <rowBreaks count="1" manualBreakCount="1">
    <brk id="89" max="1048575" man="1"/>
  </rowBreaks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tabColor rgb="FFFF0000"/>
  </sheetPr>
  <dimension ref="A1:K95"/>
  <sheetViews>
    <sheetView showGridLines="0" topLeftCell="A63" zoomScale="85" zoomScaleNormal="85" zoomScaleSheetLayoutView="85" workbookViewId="0">
      <selection activeCell="C81" sqref="C81"/>
    </sheetView>
  </sheetViews>
  <sheetFormatPr defaultColWidth="13.4140625" defaultRowHeight="16"/>
  <cols>
    <col min="1" max="1" width="6.4140625" style="76" customWidth="1"/>
    <col min="2" max="2" width="17.5" style="77" customWidth="1"/>
    <col min="3" max="3" width="24.33203125" style="78" customWidth="1"/>
    <col min="4" max="4" width="18.25" style="79" bestFit="1" customWidth="1"/>
    <col min="5" max="5" width="13.08203125" style="76" bestFit="1" customWidth="1"/>
    <col min="6" max="6" width="15.75" style="76" bestFit="1" customWidth="1"/>
    <col min="7" max="7" width="14" style="76" bestFit="1" customWidth="1"/>
    <col min="8" max="8" width="18.75" style="76" bestFit="1" customWidth="1"/>
    <col min="9" max="9" width="26.33203125" style="76" bestFit="1" customWidth="1"/>
    <col min="10" max="16384" width="13.4140625" style="76"/>
  </cols>
  <sheetData>
    <row r="1" spans="1:8" ht="31.5" customHeight="1">
      <c r="A1" s="927" t="s">
        <v>36</v>
      </c>
      <c r="B1" s="927"/>
      <c r="C1" s="927"/>
      <c r="D1" s="927"/>
      <c r="E1" s="927"/>
      <c r="F1" s="927"/>
      <c r="G1" s="927"/>
      <c r="H1" s="927"/>
    </row>
    <row r="2" spans="1:8" ht="15.5" customHeight="1">
      <c r="A2" s="955" t="s">
        <v>112</v>
      </c>
      <c r="B2" s="6" t="s">
        <v>420</v>
      </c>
      <c r="C2" s="852" t="s">
        <v>68</v>
      </c>
      <c r="D2" s="852"/>
      <c r="E2" s="852"/>
      <c r="F2" s="852"/>
      <c r="G2" s="852"/>
      <c r="H2" s="852"/>
    </row>
    <row r="3" spans="1:8" ht="15" customHeight="1">
      <c r="A3" s="958"/>
      <c r="B3" s="11" t="s">
        <v>471</v>
      </c>
      <c r="C3" s="851" t="s">
        <v>347</v>
      </c>
      <c r="D3" s="851"/>
      <c r="E3" s="851"/>
      <c r="F3" s="851"/>
      <c r="G3" s="851"/>
      <c r="H3" s="851"/>
    </row>
    <row r="4" spans="1:8">
      <c r="A4" s="958"/>
      <c r="B4" s="11" t="s">
        <v>407</v>
      </c>
      <c r="C4" s="81" t="s">
        <v>398</v>
      </c>
      <c r="D4" s="82"/>
      <c r="E4" s="83"/>
      <c r="F4" s="83"/>
      <c r="G4" s="83"/>
      <c r="H4" s="84"/>
    </row>
    <row r="5" spans="1:8">
      <c r="A5" s="955"/>
      <c r="B5" s="11" t="s">
        <v>58</v>
      </c>
      <c r="C5" s="845" t="s">
        <v>263</v>
      </c>
      <c r="D5" s="846"/>
      <c r="E5" s="85"/>
      <c r="F5" s="85"/>
      <c r="G5" s="85"/>
      <c r="H5" s="86"/>
    </row>
    <row r="6" spans="1:8">
      <c r="A6" s="958"/>
      <c r="B6" s="11" t="s">
        <v>53</v>
      </c>
      <c r="C6" s="845">
        <f>56668*3.3058</f>
        <v>187333.07440000001</v>
      </c>
      <c r="D6" s="847"/>
      <c r="E6" s="85"/>
      <c r="F6" s="85"/>
      <c r="G6" s="85"/>
      <c r="H6" s="86"/>
    </row>
    <row r="7" spans="1:8">
      <c r="A7" s="937"/>
      <c r="B7" s="16" t="s">
        <v>99</v>
      </c>
      <c r="C7" s="87">
        <v>238764</v>
      </c>
      <c r="D7" s="840" t="s">
        <v>231</v>
      </c>
      <c r="E7" s="841"/>
      <c r="F7" s="359">
        <f>C7*0.3025/C9</f>
        <v>48.76847400405132</v>
      </c>
      <c r="G7" s="842" t="s">
        <v>524</v>
      </c>
      <c r="H7" s="843"/>
    </row>
    <row r="8" spans="1:8">
      <c r="A8" s="937"/>
      <c r="B8" s="16" t="s">
        <v>425</v>
      </c>
      <c r="C8" s="87">
        <v>34</v>
      </c>
      <c r="D8" s="88"/>
      <c r="E8" s="83"/>
      <c r="F8" s="83"/>
      <c r="G8" s="83"/>
      <c r="H8" s="84"/>
    </row>
    <row r="9" spans="1:8">
      <c r="A9" s="937"/>
      <c r="B9" s="16" t="s">
        <v>335</v>
      </c>
      <c r="C9" s="87">
        <v>1481</v>
      </c>
      <c r="D9" s="89" t="s">
        <v>39</v>
      </c>
      <c r="E9" s="90">
        <f>C9/C11</f>
        <v>0.3313199105145414</v>
      </c>
      <c r="F9" s="88"/>
      <c r="G9" s="83"/>
      <c r="H9" s="84"/>
    </row>
    <row r="10" spans="1:8">
      <c r="A10" s="937"/>
      <c r="B10" s="16" t="s">
        <v>54</v>
      </c>
      <c r="C10" s="360">
        <f>C11-C9</f>
        <v>2989</v>
      </c>
      <c r="D10" s="89" t="s">
        <v>145</v>
      </c>
      <c r="E10" s="361">
        <f>C10/C11</f>
        <v>0.66868008948545865</v>
      </c>
      <c r="F10" s="848" t="s">
        <v>29</v>
      </c>
      <c r="G10" s="849"/>
      <c r="H10" s="850"/>
    </row>
    <row r="11" spans="1:8">
      <c r="A11" s="937"/>
      <c r="B11" s="16" t="s">
        <v>150</v>
      </c>
      <c r="C11" s="87">
        <v>4470</v>
      </c>
      <c r="D11" s="91" t="s">
        <v>321</v>
      </c>
      <c r="E11" s="83"/>
      <c r="F11" s="83"/>
      <c r="G11" s="83"/>
      <c r="H11" s="84"/>
    </row>
    <row r="12" spans="1:8">
      <c r="A12" s="937"/>
      <c r="B12" s="16" t="s">
        <v>427</v>
      </c>
      <c r="C12" s="92">
        <v>0.1348</v>
      </c>
      <c r="D12" s="93" t="s">
        <v>84</v>
      </c>
      <c r="E12" s="94">
        <f>C7*C12</f>
        <v>32185.387200000001</v>
      </c>
      <c r="F12" s="95" t="s">
        <v>41</v>
      </c>
      <c r="G12" s="96">
        <f>E13/E12</f>
        <v>19.057863501483681</v>
      </c>
      <c r="H12" s="97"/>
    </row>
    <row r="13" spans="1:8">
      <c r="A13" s="937"/>
      <c r="B13" s="16" t="s">
        <v>466</v>
      </c>
      <c r="C13" s="92">
        <v>2.569</v>
      </c>
      <c r="D13" s="93" t="s">
        <v>91</v>
      </c>
      <c r="E13" s="98">
        <f>C7*C13</f>
        <v>613384.71600000001</v>
      </c>
      <c r="F13" s="95" t="s">
        <v>209</v>
      </c>
      <c r="G13" s="473">
        <f>E13*76%</f>
        <v>466172.38416000002</v>
      </c>
      <c r="H13" s="99"/>
    </row>
    <row r="14" spans="1:8">
      <c r="A14" s="937"/>
      <c r="B14" s="16" t="s">
        <v>208</v>
      </c>
      <c r="C14" s="100" t="s">
        <v>22</v>
      </c>
      <c r="D14" s="88"/>
      <c r="E14" s="83"/>
      <c r="F14" s="840" t="s">
        <v>234</v>
      </c>
      <c r="G14" s="841"/>
      <c r="H14" s="367">
        <f>G13/C43</f>
        <v>2.6411284901844141</v>
      </c>
    </row>
    <row r="15" spans="1:8" ht="15" customHeight="1">
      <c r="A15" s="937"/>
      <c r="B15" s="16" t="s">
        <v>441</v>
      </c>
      <c r="C15" s="101" t="s">
        <v>395</v>
      </c>
      <c r="D15" s="102"/>
      <c r="E15" s="103"/>
      <c r="F15" s="848" t="s">
        <v>392</v>
      </c>
      <c r="G15" s="849"/>
      <c r="H15" s="850"/>
    </row>
    <row r="16" spans="1:8">
      <c r="A16" s="937"/>
      <c r="B16" s="32" t="s">
        <v>87</v>
      </c>
      <c r="C16" s="100">
        <v>1.5</v>
      </c>
      <c r="D16" s="104"/>
      <c r="E16" s="83"/>
      <c r="F16" s="83"/>
      <c r="G16" s="83"/>
      <c r="H16" s="84"/>
    </row>
    <row r="17" spans="1:8" ht="15" customHeight="1">
      <c r="A17" s="955"/>
      <c r="B17" s="844" t="s">
        <v>470</v>
      </c>
      <c r="C17" s="105"/>
      <c r="D17" s="215"/>
      <c r="E17" s="106"/>
      <c r="F17" s="106"/>
      <c r="G17" s="106"/>
      <c r="H17" s="107"/>
    </row>
    <row r="18" spans="1:8">
      <c r="A18" s="938"/>
      <c r="B18" s="844"/>
      <c r="C18" s="108"/>
      <c r="D18" s="109"/>
      <c r="E18" s="110"/>
      <c r="F18" s="110"/>
      <c r="G18" s="110"/>
      <c r="H18" s="111"/>
    </row>
    <row r="19" spans="1:8" ht="5.25" customHeight="1">
      <c r="A19" s="112"/>
      <c r="B19" s="40"/>
      <c r="C19" s="113"/>
      <c r="D19" s="113"/>
      <c r="H19" s="114"/>
    </row>
    <row r="20" spans="1:8">
      <c r="A20" s="955" t="s">
        <v>49</v>
      </c>
      <c r="B20" s="43" t="s">
        <v>174</v>
      </c>
      <c r="C20" s="115" t="s">
        <v>306</v>
      </c>
      <c r="D20" s="116"/>
      <c r="E20" s="117"/>
      <c r="F20" s="117"/>
      <c r="G20" s="117"/>
      <c r="H20" s="118"/>
    </row>
    <row r="21" spans="1:8">
      <c r="A21" s="956"/>
      <c r="B21" s="25" t="s">
        <v>65</v>
      </c>
      <c r="C21" s="119" t="s">
        <v>272</v>
      </c>
      <c r="D21" s="120"/>
      <c r="E21" s="83"/>
      <c r="F21" s="83"/>
      <c r="G21" s="83"/>
      <c r="H21" s="84"/>
    </row>
    <row r="22" spans="1:8">
      <c r="A22" s="955"/>
      <c r="B22" s="25" t="s">
        <v>95</v>
      </c>
      <c r="C22" s="93" t="s">
        <v>261</v>
      </c>
      <c r="D22" s="120"/>
      <c r="E22" s="83"/>
      <c r="F22" s="83"/>
      <c r="G22" s="83"/>
      <c r="H22" s="84"/>
    </row>
    <row r="23" spans="1:8">
      <c r="A23" s="956"/>
      <c r="B23" s="25" t="s">
        <v>73</v>
      </c>
      <c r="C23" s="93" t="s">
        <v>282</v>
      </c>
      <c r="D23" s="120"/>
      <c r="E23" s="83"/>
      <c r="F23" s="83"/>
      <c r="G23" s="83"/>
      <c r="H23" s="84"/>
    </row>
    <row r="24" spans="1:8">
      <c r="A24" s="956"/>
      <c r="B24" s="25" t="s">
        <v>177</v>
      </c>
      <c r="C24" s="93" t="s">
        <v>363</v>
      </c>
      <c r="D24" s="91"/>
      <c r="E24" s="83"/>
      <c r="F24" s="83"/>
      <c r="G24" s="83"/>
      <c r="H24" s="84"/>
    </row>
    <row r="25" spans="1:8">
      <c r="A25" s="956"/>
      <c r="B25" s="25" t="s">
        <v>167</v>
      </c>
      <c r="C25" s="93" t="s">
        <v>310</v>
      </c>
      <c r="D25" s="91"/>
      <c r="E25" s="83"/>
      <c r="F25" s="83"/>
      <c r="G25" s="83"/>
      <c r="H25" s="84"/>
    </row>
    <row r="26" spans="1:8">
      <c r="A26" s="956"/>
      <c r="B26" s="25" t="s">
        <v>447</v>
      </c>
      <c r="C26" s="93" t="s">
        <v>259</v>
      </c>
      <c r="D26" s="91"/>
      <c r="E26" s="83"/>
      <c r="F26" s="83"/>
      <c r="G26" s="83"/>
      <c r="H26" s="84"/>
    </row>
    <row r="27" spans="1:8">
      <c r="A27" s="956"/>
      <c r="B27" s="25"/>
      <c r="C27" s="93"/>
      <c r="D27" s="91"/>
      <c r="E27" s="83"/>
      <c r="F27" s="83"/>
      <c r="G27" s="83"/>
      <c r="H27" s="84"/>
    </row>
    <row r="28" spans="1:8">
      <c r="A28" s="957"/>
      <c r="B28" s="25"/>
      <c r="C28" s="122"/>
      <c r="D28" s="123"/>
      <c r="E28" s="110"/>
      <c r="F28" s="110"/>
      <c r="G28" s="110"/>
      <c r="H28" s="111"/>
    </row>
    <row r="29" spans="1:8" ht="5.25" customHeight="1">
      <c r="A29" s="112"/>
      <c r="B29" s="40"/>
      <c r="C29" s="3"/>
      <c r="H29" s="114"/>
    </row>
    <row r="30" spans="1:8" s="80" customFormat="1" ht="13.5" customHeight="1">
      <c r="A30" s="955" t="s">
        <v>160</v>
      </c>
      <c r="B30" s="124" t="s">
        <v>101</v>
      </c>
      <c r="C30" s="125" t="s">
        <v>48</v>
      </c>
      <c r="D30" s="126" t="s">
        <v>125</v>
      </c>
      <c r="E30" s="126" t="s">
        <v>434</v>
      </c>
      <c r="F30" s="126" t="s">
        <v>414</v>
      </c>
      <c r="G30" s="127" t="s">
        <v>454</v>
      </c>
      <c r="H30" s="128" t="s">
        <v>470</v>
      </c>
    </row>
    <row r="31" spans="1:8">
      <c r="A31" s="956"/>
      <c r="B31" s="129" t="s">
        <v>455</v>
      </c>
      <c r="C31" s="130">
        <f>49*D31</f>
        <v>11466</v>
      </c>
      <c r="D31" s="87">
        <v>234</v>
      </c>
      <c r="E31" s="87">
        <v>210</v>
      </c>
      <c r="F31" s="87">
        <f t="shared" ref="F31:F42" si="0">D31-E31</f>
        <v>24</v>
      </c>
      <c r="G31" s="131">
        <f t="shared" ref="G31:G42" si="1">D31/$D$43</f>
        <v>0.10112359550561797</v>
      </c>
      <c r="H31" s="132"/>
    </row>
    <row r="32" spans="1:8">
      <c r="A32" s="958"/>
      <c r="B32" s="129" t="s">
        <v>460</v>
      </c>
      <c r="C32" s="130">
        <f>49*D32</f>
        <v>11466</v>
      </c>
      <c r="D32" s="87">
        <v>234</v>
      </c>
      <c r="E32" s="87">
        <v>210</v>
      </c>
      <c r="F32" s="87">
        <f t="shared" si="0"/>
        <v>24</v>
      </c>
      <c r="G32" s="131">
        <f t="shared" si="1"/>
        <v>0.10112359550561797</v>
      </c>
      <c r="H32" s="132"/>
    </row>
    <row r="33" spans="1:8">
      <c r="A33" s="955"/>
      <c r="B33" s="16" t="s">
        <v>473</v>
      </c>
      <c r="C33" s="130">
        <f>59*D33</f>
        <v>3658</v>
      </c>
      <c r="D33" s="87">
        <v>62</v>
      </c>
      <c r="E33" s="87">
        <v>59</v>
      </c>
      <c r="F33" s="87">
        <f t="shared" si="0"/>
        <v>3</v>
      </c>
      <c r="G33" s="131">
        <f t="shared" si="1"/>
        <v>2.6793431287813311E-2</v>
      </c>
      <c r="H33" s="132"/>
    </row>
    <row r="34" spans="1:8">
      <c r="A34" s="956"/>
      <c r="B34" s="129" t="s">
        <v>475</v>
      </c>
      <c r="C34" s="130">
        <f>59*D34</f>
        <v>2891</v>
      </c>
      <c r="D34" s="87">
        <v>49</v>
      </c>
      <c r="E34" s="87">
        <v>44</v>
      </c>
      <c r="F34" s="87">
        <f t="shared" si="0"/>
        <v>5</v>
      </c>
      <c r="G34" s="131">
        <f t="shared" si="1"/>
        <v>2.1175453759723423E-2</v>
      </c>
      <c r="H34" s="132"/>
    </row>
    <row r="35" spans="1:8">
      <c r="A35" s="956"/>
      <c r="B35" s="129" t="s">
        <v>477</v>
      </c>
      <c r="C35" s="130">
        <f>75*D35</f>
        <v>11250</v>
      </c>
      <c r="D35" s="87">
        <v>150</v>
      </c>
      <c r="E35" s="87">
        <v>34</v>
      </c>
      <c r="F35" s="87">
        <f t="shared" si="0"/>
        <v>116</v>
      </c>
      <c r="G35" s="131">
        <f t="shared" si="1"/>
        <v>6.482281763180639E-2</v>
      </c>
      <c r="H35" s="132"/>
    </row>
    <row r="36" spans="1:8">
      <c r="A36" s="955"/>
      <c r="B36" s="129" t="s">
        <v>411</v>
      </c>
      <c r="C36" s="130">
        <f>75*D36</f>
        <v>7950</v>
      </c>
      <c r="D36" s="87">
        <v>106</v>
      </c>
      <c r="E36" s="87">
        <v>76</v>
      </c>
      <c r="F36" s="87">
        <f t="shared" si="0"/>
        <v>30</v>
      </c>
      <c r="G36" s="131">
        <f t="shared" si="1"/>
        <v>4.5808124459809856E-2</v>
      </c>
      <c r="H36" s="132"/>
    </row>
    <row r="37" spans="1:8">
      <c r="A37" s="958"/>
      <c r="B37" s="129" t="s">
        <v>472</v>
      </c>
      <c r="C37" s="130">
        <f>84*D37</f>
        <v>87696</v>
      </c>
      <c r="D37" s="133">
        <v>1044</v>
      </c>
      <c r="E37" s="133">
        <v>474</v>
      </c>
      <c r="F37" s="87">
        <f t="shared" si="0"/>
        <v>570</v>
      </c>
      <c r="G37" s="131">
        <f t="shared" si="1"/>
        <v>0.45116681071737252</v>
      </c>
      <c r="H37" s="134"/>
    </row>
    <row r="38" spans="1:8">
      <c r="A38" s="958"/>
      <c r="B38" s="129" t="s">
        <v>478</v>
      </c>
      <c r="C38" s="130">
        <f>84*D38</f>
        <v>19068</v>
      </c>
      <c r="D38" s="133">
        <v>227</v>
      </c>
      <c r="E38" s="133">
        <v>202</v>
      </c>
      <c r="F38" s="87">
        <f t="shared" si="0"/>
        <v>25</v>
      </c>
      <c r="G38" s="131">
        <f t="shared" si="1"/>
        <v>9.8098530682800347E-2</v>
      </c>
      <c r="H38" s="134"/>
    </row>
    <row r="39" spans="1:8">
      <c r="A39" s="958"/>
      <c r="B39" s="129" t="s">
        <v>187</v>
      </c>
      <c r="C39" s="130">
        <f>101*D39</f>
        <v>19897</v>
      </c>
      <c r="D39" s="133">
        <v>197</v>
      </c>
      <c r="E39" s="133">
        <v>0</v>
      </c>
      <c r="F39" s="87">
        <f t="shared" si="0"/>
        <v>197</v>
      </c>
      <c r="G39" s="131">
        <f t="shared" si="1"/>
        <v>8.5133967156439061E-2</v>
      </c>
      <c r="H39" s="134"/>
    </row>
    <row r="40" spans="1:8">
      <c r="A40" s="958"/>
      <c r="B40" s="129" t="s">
        <v>116</v>
      </c>
      <c r="C40" s="130">
        <f>101*D40</f>
        <v>707</v>
      </c>
      <c r="D40" s="133">
        <v>7</v>
      </c>
      <c r="E40" s="133">
        <v>0</v>
      </c>
      <c r="F40" s="87">
        <f t="shared" si="0"/>
        <v>7</v>
      </c>
      <c r="G40" s="131">
        <f t="shared" si="1"/>
        <v>3.0250648228176318E-3</v>
      </c>
      <c r="H40" s="134"/>
    </row>
    <row r="41" spans="1:8">
      <c r="A41" s="955"/>
      <c r="B41" s="129" t="s">
        <v>169</v>
      </c>
      <c r="C41" s="130">
        <f>114*D41</f>
        <v>114</v>
      </c>
      <c r="D41" s="133">
        <v>1</v>
      </c>
      <c r="E41" s="133">
        <v>0</v>
      </c>
      <c r="F41" s="87">
        <f t="shared" si="0"/>
        <v>1</v>
      </c>
      <c r="G41" s="131">
        <f t="shared" si="1"/>
        <v>4.3215211754537599E-4</v>
      </c>
      <c r="H41" s="134"/>
    </row>
    <row r="42" spans="1:8">
      <c r="A42" s="958"/>
      <c r="B42" s="129" t="s">
        <v>115</v>
      </c>
      <c r="C42" s="130">
        <f>114*D42</f>
        <v>342</v>
      </c>
      <c r="D42" s="133">
        <v>3</v>
      </c>
      <c r="E42" s="133">
        <v>3</v>
      </c>
      <c r="F42" s="87">
        <f t="shared" si="0"/>
        <v>0</v>
      </c>
      <c r="G42" s="131">
        <f t="shared" si="1"/>
        <v>1.2964563526361278E-3</v>
      </c>
      <c r="H42" s="134"/>
    </row>
    <row r="43" spans="1:8">
      <c r="A43" s="957"/>
      <c r="B43" s="129" t="s">
        <v>462</v>
      </c>
      <c r="C43" s="57">
        <f t="shared" ref="C43:H43" si="2">SUM(C31:C42)</f>
        <v>176505</v>
      </c>
      <c r="D43" s="57">
        <f t="shared" si="2"/>
        <v>2314</v>
      </c>
      <c r="E43" s="57">
        <f t="shared" si="2"/>
        <v>1312</v>
      </c>
      <c r="F43" s="57">
        <f t="shared" si="2"/>
        <v>1002</v>
      </c>
      <c r="G43" s="135">
        <f t="shared" si="2"/>
        <v>0.99999999999999989</v>
      </c>
      <c r="H43" s="57">
        <f t="shared" si="2"/>
        <v>0</v>
      </c>
    </row>
    <row r="44" spans="1:8" ht="6" customHeight="1">
      <c r="A44" s="112"/>
      <c r="B44" s="40"/>
      <c r="C44" s="3"/>
      <c r="H44" s="114"/>
    </row>
    <row r="45" spans="1:8" s="77" customFormat="1">
      <c r="A45" s="959" t="s">
        <v>5</v>
      </c>
      <c r="B45" s="124" t="s">
        <v>360</v>
      </c>
      <c r="C45" s="126" t="s">
        <v>901</v>
      </c>
      <c r="D45" s="126" t="s">
        <v>902</v>
      </c>
      <c r="E45" s="474" t="s">
        <v>43</v>
      </c>
      <c r="F45" s="126" t="s">
        <v>903</v>
      </c>
      <c r="G45" s="475" t="s">
        <v>172</v>
      </c>
      <c r="H45" s="137" t="s">
        <v>470</v>
      </c>
    </row>
    <row r="46" spans="1:8" ht="16.5" customHeight="1">
      <c r="A46" s="960"/>
      <c r="B46" s="16" t="s">
        <v>455</v>
      </c>
      <c r="C46" s="138"/>
      <c r="D46" s="139" t="s">
        <v>436</v>
      </c>
      <c r="E46" s="362" t="e">
        <f>(D46-C46)*22</f>
        <v>#VALUE!</v>
      </c>
      <c r="F46" s="139" t="s">
        <v>436</v>
      </c>
      <c r="G46" s="362" t="e">
        <f>(F46-C46)*22</f>
        <v>#VALUE!</v>
      </c>
      <c r="H46" s="140"/>
    </row>
    <row r="47" spans="1:8" ht="16.5" customHeight="1">
      <c r="A47" s="961"/>
      <c r="B47" s="16" t="s">
        <v>460</v>
      </c>
      <c r="C47" s="138"/>
      <c r="D47" s="139" t="s">
        <v>436</v>
      </c>
      <c r="E47" s="362" t="e">
        <f>(D47-C47)*22</f>
        <v>#VALUE!</v>
      </c>
      <c r="F47" s="139" t="s">
        <v>436</v>
      </c>
      <c r="G47" s="362" t="e">
        <f>(F47-C47)*22</f>
        <v>#VALUE!</v>
      </c>
      <c r="H47" s="140"/>
    </row>
    <row r="48" spans="1:8" ht="16.5" customHeight="1">
      <c r="A48" s="959"/>
      <c r="B48" s="16" t="s">
        <v>473</v>
      </c>
      <c r="C48" s="138"/>
      <c r="D48" s="139"/>
      <c r="E48" s="362">
        <f>(D48-C48)*25</f>
        <v>0</v>
      </c>
      <c r="F48" s="139"/>
      <c r="G48" s="362">
        <f>(F48-C48)*25</f>
        <v>0</v>
      </c>
      <c r="H48" s="140"/>
    </row>
    <row r="49" spans="1:9" ht="16.5" customHeight="1">
      <c r="A49" s="960"/>
      <c r="B49" s="16" t="s">
        <v>475</v>
      </c>
      <c r="C49" s="138"/>
      <c r="D49" s="139"/>
      <c r="E49" s="362">
        <f>(D49-C49)*25</f>
        <v>0</v>
      </c>
      <c r="F49" s="139"/>
      <c r="G49" s="362">
        <f>(F49-C49)*25</f>
        <v>0</v>
      </c>
      <c r="H49" s="140"/>
    </row>
    <row r="50" spans="1:9" ht="16.5" customHeight="1">
      <c r="A50" s="960"/>
      <c r="B50" s="16" t="s">
        <v>477</v>
      </c>
      <c r="C50" s="138"/>
      <c r="D50" s="139"/>
      <c r="E50" s="362">
        <f>(D50-C50)*31</f>
        <v>0</v>
      </c>
      <c r="F50" s="139"/>
      <c r="G50" s="362">
        <f>(F50-C50)*31</f>
        <v>0</v>
      </c>
      <c r="H50" s="140"/>
    </row>
    <row r="51" spans="1:9" ht="16.5" customHeight="1">
      <c r="A51" s="960"/>
      <c r="B51" s="129" t="s">
        <v>411</v>
      </c>
      <c r="C51" s="138"/>
      <c r="D51" s="139"/>
      <c r="E51" s="362">
        <f>(D51-C51)*31</f>
        <v>0</v>
      </c>
      <c r="F51" s="139"/>
      <c r="G51" s="362">
        <f>(F51-C51)*31</f>
        <v>0</v>
      </c>
      <c r="H51" s="140"/>
    </row>
    <row r="52" spans="1:9" ht="16.5" customHeight="1">
      <c r="A52" s="960"/>
      <c r="B52" s="129" t="s">
        <v>472</v>
      </c>
      <c r="C52" s="728">
        <f>321150000/34</f>
        <v>9445588.2352941185</v>
      </c>
      <c r="D52" s="139">
        <v>20910000</v>
      </c>
      <c r="E52" s="362">
        <f>(D52-C52)*34</f>
        <v>389790000</v>
      </c>
      <c r="F52" s="727">
        <v>32940000</v>
      </c>
      <c r="G52" s="362">
        <f>(F52-C52)*34</f>
        <v>798810000</v>
      </c>
      <c r="H52" s="140" t="s">
        <v>1179</v>
      </c>
    </row>
    <row r="53" spans="1:9" ht="16.5" customHeight="1">
      <c r="A53" s="960"/>
      <c r="B53" s="129" t="s">
        <v>478</v>
      </c>
      <c r="C53" s="141"/>
      <c r="D53" s="139"/>
      <c r="E53" s="362">
        <f>(D53-C53)*34</f>
        <v>0</v>
      </c>
      <c r="F53" s="139"/>
      <c r="G53" s="362">
        <f>(F53-C53)*34</f>
        <v>0</v>
      </c>
      <c r="H53" s="140"/>
    </row>
    <row r="54" spans="1:9" ht="16.5" customHeight="1">
      <c r="A54" s="959" t="s">
        <v>393</v>
      </c>
      <c r="B54" s="129" t="s">
        <v>187</v>
      </c>
      <c r="C54" s="141"/>
      <c r="D54" s="139"/>
      <c r="E54" s="362">
        <f>(D54-C54)*39</f>
        <v>0</v>
      </c>
      <c r="F54" s="139"/>
      <c r="G54" s="362">
        <f>(F54-C54)*39</f>
        <v>0</v>
      </c>
      <c r="H54" s="202"/>
    </row>
    <row r="55" spans="1:9" ht="16.5" customHeight="1">
      <c r="A55" s="961"/>
      <c r="B55" s="129" t="s">
        <v>116</v>
      </c>
      <c r="C55" s="141"/>
      <c r="D55" s="139"/>
      <c r="E55" s="362">
        <f>(D55-C55)*39</f>
        <v>0</v>
      </c>
      <c r="F55" s="139"/>
      <c r="G55" s="362">
        <f>(F55-C55)*39</f>
        <v>0</v>
      </c>
      <c r="H55" s="202"/>
    </row>
    <row r="56" spans="1:9" ht="16.5" customHeight="1">
      <c r="A56" s="961"/>
      <c r="B56" s="129" t="s">
        <v>169</v>
      </c>
      <c r="C56" s="141"/>
      <c r="D56" s="139"/>
      <c r="E56" s="362">
        <f>(D56-C56)*43</f>
        <v>0</v>
      </c>
      <c r="F56" s="139"/>
      <c r="G56" s="362">
        <f>(F56-C56)*43</f>
        <v>0</v>
      </c>
      <c r="H56" s="202"/>
    </row>
    <row r="57" spans="1:9" ht="16.5" customHeight="1">
      <c r="A57" s="961"/>
      <c r="B57" s="129" t="s">
        <v>115</v>
      </c>
      <c r="C57" s="141"/>
      <c r="D57" s="139"/>
      <c r="E57" s="362">
        <f>(D57-C57)*43</f>
        <v>0</v>
      </c>
      <c r="F57" s="139"/>
      <c r="G57" s="362">
        <f>(F57-C57)*43</f>
        <v>0</v>
      </c>
      <c r="H57" s="202"/>
    </row>
    <row r="58" spans="1:9" ht="5.25" customHeight="1" thickBot="1">
      <c r="A58" s="142"/>
      <c r="B58" s="143"/>
      <c r="C58" s="144"/>
      <c r="D58" s="144"/>
      <c r="E58" s="145"/>
      <c r="F58" s="144"/>
      <c r="G58" s="145"/>
      <c r="H58" s="146"/>
    </row>
    <row r="59" spans="1:9" ht="60.15" customHeight="1">
      <c r="A59" s="952" t="s">
        <v>286</v>
      </c>
      <c r="B59" s="126" t="s">
        <v>101</v>
      </c>
      <c r="C59" s="508" t="s">
        <v>1395</v>
      </c>
      <c r="D59" s="147" t="s">
        <v>247</v>
      </c>
      <c r="E59" s="476" t="s">
        <v>322</v>
      </c>
      <c r="F59" s="147" t="s">
        <v>222</v>
      </c>
      <c r="G59" s="476" t="s">
        <v>367</v>
      </c>
      <c r="H59" s="126" t="s">
        <v>1136</v>
      </c>
      <c r="I59" s="824" t="s">
        <v>1206</v>
      </c>
    </row>
    <row r="60" spans="1:9">
      <c r="A60" s="953"/>
      <c r="B60" s="25" t="s">
        <v>455</v>
      </c>
      <c r="C60" s="138" t="s">
        <v>436</v>
      </c>
      <c r="D60" s="139" t="e">
        <f t="shared" ref="D60:D71" si="3">E46</f>
        <v>#VALUE!</v>
      </c>
      <c r="E60" s="362" t="e">
        <f t="shared" ref="E60:E71" si="4">D60-C60</f>
        <v>#VALUE!</v>
      </c>
      <c r="F60" s="139" t="e">
        <f t="shared" ref="F60:F71" si="5">G46</f>
        <v>#VALUE!</v>
      </c>
      <c r="G60" s="362" t="e">
        <f t="shared" ref="G60:G71" si="6">F60-C60</f>
        <v>#VALUE!</v>
      </c>
      <c r="H60" s="739"/>
      <c r="I60" s="825"/>
    </row>
    <row r="61" spans="1:9">
      <c r="A61" s="953"/>
      <c r="B61" s="25" t="s">
        <v>460</v>
      </c>
      <c r="C61" s="138" t="s">
        <v>436</v>
      </c>
      <c r="D61" s="139" t="e">
        <f t="shared" si="3"/>
        <v>#VALUE!</v>
      </c>
      <c r="E61" s="362" t="e">
        <f t="shared" si="4"/>
        <v>#VALUE!</v>
      </c>
      <c r="F61" s="139" t="e">
        <f t="shared" si="5"/>
        <v>#VALUE!</v>
      </c>
      <c r="G61" s="362" t="e">
        <f t="shared" si="6"/>
        <v>#VALUE!</v>
      </c>
      <c r="H61" s="739"/>
      <c r="I61" s="825"/>
    </row>
    <row r="62" spans="1:9">
      <c r="A62" s="953"/>
      <c r="B62" s="25" t="s">
        <v>473</v>
      </c>
      <c r="C62" s="138"/>
      <c r="D62" s="139">
        <f t="shared" si="3"/>
        <v>0</v>
      </c>
      <c r="E62" s="362">
        <f t="shared" si="4"/>
        <v>0</v>
      </c>
      <c r="F62" s="139">
        <f t="shared" si="5"/>
        <v>0</v>
      </c>
      <c r="G62" s="362">
        <f t="shared" si="6"/>
        <v>0</v>
      </c>
      <c r="H62" s="739"/>
      <c r="I62" s="825"/>
    </row>
    <row r="63" spans="1:9">
      <c r="A63" s="953"/>
      <c r="B63" s="25" t="s">
        <v>475</v>
      </c>
      <c r="C63" s="138" t="s">
        <v>436</v>
      </c>
      <c r="D63" s="139">
        <f t="shared" si="3"/>
        <v>0</v>
      </c>
      <c r="E63" s="362" t="e">
        <f t="shared" si="4"/>
        <v>#VALUE!</v>
      </c>
      <c r="F63" s="139">
        <f t="shared" si="5"/>
        <v>0</v>
      </c>
      <c r="G63" s="362" t="e">
        <f t="shared" si="6"/>
        <v>#VALUE!</v>
      </c>
      <c r="H63" s="739"/>
      <c r="I63" s="825"/>
    </row>
    <row r="64" spans="1:9">
      <c r="A64" s="953"/>
      <c r="B64" s="25" t="s">
        <v>477</v>
      </c>
      <c r="C64" s="138"/>
      <c r="D64" s="139">
        <f t="shared" si="3"/>
        <v>0</v>
      </c>
      <c r="E64" s="362">
        <f t="shared" si="4"/>
        <v>0</v>
      </c>
      <c r="F64" s="139">
        <f t="shared" si="5"/>
        <v>0</v>
      </c>
      <c r="G64" s="362">
        <f t="shared" si="6"/>
        <v>0</v>
      </c>
      <c r="H64" s="739"/>
      <c r="I64" s="825"/>
    </row>
    <row r="65" spans="1:11">
      <c r="A65" s="953"/>
      <c r="B65" s="213" t="s">
        <v>411</v>
      </c>
      <c r="C65" s="138"/>
      <c r="D65" s="139">
        <f t="shared" si="3"/>
        <v>0</v>
      </c>
      <c r="E65" s="362">
        <f t="shared" si="4"/>
        <v>0</v>
      </c>
      <c r="F65" s="139">
        <f t="shared" si="5"/>
        <v>0</v>
      </c>
      <c r="G65" s="362">
        <f t="shared" si="6"/>
        <v>0</v>
      </c>
      <c r="H65" s="739"/>
      <c r="I65" s="825"/>
    </row>
    <row r="66" spans="1:11" ht="17">
      <c r="A66" s="953"/>
      <c r="B66" s="213" t="s">
        <v>472</v>
      </c>
      <c r="C66" s="138">
        <v>1020000000</v>
      </c>
      <c r="D66" s="139">
        <f t="shared" si="3"/>
        <v>389790000</v>
      </c>
      <c r="E66" s="362">
        <f t="shared" si="4"/>
        <v>-630210000</v>
      </c>
      <c r="F66" s="139">
        <f t="shared" si="5"/>
        <v>798810000</v>
      </c>
      <c r="G66" s="362">
        <f t="shared" si="6"/>
        <v>-221190000</v>
      </c>
      <c r="H66" s="62">
        <f>(C66+(C52*34))/34</f>
        <v>39445588.235294119</v>
      </c>
      <c r="I66" s="751">
        <f>H66/F52</f>
        <v>1.1974981249330334</v>
      </c>
    </row>
    <row r="67" spans="1:11">
      <c r="A67" s="953"/>
      <c r="B67" s="213" t="s">
        <v>478</v>
      </c>
      <c r="C67" s="138"/>
      <c r="D67" s="139">
        <f t="shared" si="3"/>
        <v>0</v>
      </c>
      <c r="E67" s="362">
        <f t="shared" si="4"/>
        <v>0</v>
      </c>
      <c r="F67" s="139">
        <f t="shared" si="5"/>
        <v>0</v>
      </c>
      <c r="G67" s="362">
        <f t="shared" si="6"/>
        <v>0</v>
      </c>
      <c r="H67" s="739"/>
      <c r="I67" s="140"/>
    </row>
    <row r="68" spans="1:11">
      <c r="A68" s="953"/>
      <c r="B68" s="213" t="s">
        <v>187</v>
      </c>
      <c r="C68" s="138"/>
      <c r="D68" s="139">
        <f t="shared" si="3"/>
        <v>0</v>
      </c>
      <c r="E68" s="362">
        <f t="shared" si="4"/>
        <v>0</v>
      </c>
      <c r="F68" s="139">
        <f t="shared" si="5"/>
        <v>0</v>
      </c>
      <c r="G68" s="362">
        <f t="shared" si="6"/>
        <v>0</v>
      </c>
      <c r="H68" s="739"/>
      <c r="I68" s="140"/>
    </row>
    <row r="69" spans="1:11">
      <c r="A69" s="953"/>
      <c r="B69" s="213" t="s">
        <v>116</v>
      </c>
      <c r="C69" s="138" t="s">
        <v>436</v>
      </c>
      <c r="D69" s="139">
        <f t="shared" si="3"/>
        <v>0</v>
      </c>
      <c r="E69" s="362" t="e">
        <f t="shared" si="4"/>
        <v>#VALUE!</v>
      </c>
      <c r="F69" s="139">
        <f t="shared" si="5"/>
        <v>0</v>
      </c>
      <c r="G69" s="362" t="e">
        <f t="shared" si="6"/>
        <v>#VALUE!</v>
      </c>
      <c r="H69" s="739"/>
      <c r="I69" s="140"/>
    </row>
    <row r="70" spans="1:11">
      <c r="A70" s="953"/>
      <c r="B70" s="213" t="s">
        <v>169</v>
      </c>
      <c r="C70" s="216" t="s">
        <v>436</v>
      </c>
      <c r="D70" s="139">
        <f t="shared" si="3"/>
        <v>0</v>
      </c>
      <c r="E70" s="362" t="e">
        <f t="shared" si="4"/>
        <v>#VALUE!</v>
      </c>
      <c r="F70" s="139">
        <f t="shared" si="5"/>
        <v>0</v>
      </c>
      <c r="G70" s="362" t="e">
        <f t="shared" si="6"/>
        <v>#VALUE!</v>
      </c>
      <c r="H70" s="739"/>
      <c r="I70" s="140"/>
    </row>
    <row r="71" spans="1:11" ht="16.5" thickBot="1">
      <c r="A71" s="954"/>
      <c r="B71" s="175" t="s">
        <v>115</v>
      </c>
      <c r="C71" s="217" t="s">
        <v>436</v>
      </c>
      <c r="D71" s="179">
        <f t="shared" si="3"/>
        <v>0</v>
      </c>
      <c r="E71" s="363" t="e">
        <f t="shared" si="4"/>
        <v>#VALUE!</v>
      </c>
      <c r="F71" s="179">
        <f t="shared" si="5"/>
        <v>0</v>
      </c>
      <c r="G71" s="363" t="e">
        <f t="shared" si="6"/>
        <v>#VALUE!</v>
      </c>
      <c r="H71" s="740"/>
      <c r="I71" s="180"/>
    </row>
    <row r="72" spans="1:11" s="1" customFormat="1" ht="22.75" customHeight="1">
      <c r="A72" s="929" t="s">
        <v>598</v>
      </c>
      <c r="B72" s="741" t="s">
        <v>599</v>
      </c>
      <c r="C72" s="738" t="s">
        <v>857</v>
      </c>
      <c r="D72" s="930" t="s">
        <v>600</v>
      </c>
      <c r="E72" s="931"/>
      <c r="F72" s="931"/>
      <c r="G72" s="931"/>
      <c r="H72" s="932"/>
      <c r="I72" s="5"/>
      <c r="J72" s="5"/>
      <c r="K72" s="5"/>
    </row>
    <row r="73" spans="1:11" s="1" customFormat="1" ht="22.75" customHeight="1">
      <c r="A73" s="834"/>
      <c r="B73" s="488" t="s">
        <v>612</v>
      </c>
      <c r="C73" s="708">
        <v>1026</v>
      </c>
      <c r="D73" s="491"/>
      <c r="H73" s="42"/>
      <c r="I73" s="509"/>
      <c r="J73" s="509"/>
      <c r="K73" s="509"/>
    </row>
    <row r="74" spans="1:11" s="1" customFormat="1" ht="22.75" customHeight="1">
      <c r="A74" s="834"/>
      <c r="B74" s="165" t="s">
        <v>596</v>
      </c>
      <c r="C74" s="708">
        <v>1300</v>
      </c>
      <c r="D74" s="492"/>
      <c r="H74" s="42"/>
      <c r="I74" s="509"/>
      <c r="J74" s="509"/>
      <c r="K74" s="509"/>
    </row>
    <row r="75" spans="1:11" s="1" customFormat="1" ht="22.75" customHeight="1">
      <c r="A75" s="834"/>
      <c r="B75" s="165" t="s">
        <v>597</v>
      </c>
      <c r="C75" s="626">
        <v>1600</v>
      </c>
      <c r="D75" s="492"/>
      <c r="H75" s="42"/>
    </row>
    <row r="76" spans="1:11" s="1" customFormat="1" ht="22.75" customHeight="1">
      <c r="A76" s="835"/>
      <c r="B76" s="165" t="s">
        <v>601</v>
      </c>
      <c r="C76" s="627">
        <v>2055</v>
      </c>
      <c r="D76" s="492"/>
      <c r="H76" s="42"/>
    </row>
    <row r="77" spans="1:11" s="1" customFormat="1" ht="22.75" customHeight="1">
      <c r="A77" s="835"/>
      <c r="B77" s="165" t="s">
        <v>602</v>
      </c>
      <c r="C77" s="627">
        <v>2350</v>
      </c>
      <c r="D77" s="492"/>
      <c r="H77" s="42"/>
    </row>
    <row r="78" spans="1:11" s="1" customFormat="1" ht="22.75" customHeight="1">
      <c r="A78" s="835"/>
      <c r="B78" s="165" t="s">
        <v>603</v>
      </c>
      <c r="C78" s="627">
        <v>3231</v>
      </c>
      <c r="D78" s="492"/>
      <c r="H78" s="42"/>
    </row>
    <row r="79" spans="1:11" s="1" customFormat="1" ht="22.75" customHeight="1">
      <c r="A79" s="835"/>
      <c r="B79" s="165" t="s">
        <v>604</v>
      </c>
      <c r="C79" s="627">
        <v>3945</v>
      </c>
      <c r="D79" s="492"/>
      <c r="H79" s="42"/>
    </row>
    <row r="80" spans="1:11" s="1" customFormat="1" ht="22.75" customHeight="1">
      <c r="A80" s="835"/>
      <c r="B80" s="165" t="s">
        <v>1176</v>
      </c>
      <c r="C80" s="627">
        <f>H66/10000</f>
        <v>3944.5588235294117</v>
      </c>
      <c r="D80" s="492"/>
      <c r="H80" s="42"/>
    </row>
    <row r="81" spans="1:8" s="1" customFormat="1" ht="22.75" customHeight="1">
      <c r="A81" s="835"/>
      <c r="B81" s="165" t="s">
        <v>1177</v>
      </c>
      <c r="C81" s="627"/>
      <c r="D81" s="492"/>
      <c r="H81" s="42"/>
    </row>
    <row r="82" spans="1:8" s="1" customFormat="1" ht="22.75" customHeight="1">
      <c r="A82" s="835"/>
      <c r="B82" s="165" t="s">
        <v>1169</v>
      </c>
      <c r="C82" s="627"/>
      <c r="D82" s="492"/>
      <c r="H82" s="42"/>
    </row>
    <row r="83" spans="1:8" s="1" customFormat="1" ht="22.75" customHeight="1">
      <c r="A83" s="835"/>
      <c r="B83" s="165" t="s">
        <v>1170</v>
      </c>
      <c r="C83" s="627"/>
      <c r="D83" s="492"/>
      <c r="H83" s="42"/>
    </row>
    <row r="84" spans="1:8" s="1" customFormat="1" ht="22.75" customHeight="1">
      <c r="A84" s="835"/>
      <c r="B84" s="165" t="s">
        <v>1171</v>
      </c>
      <c r="C84" s="627"/>
      <c r="D84" s="492"/>
      <c r="H84" s="42"/>
    </row>
    <row r="85" spans="1:8" s="1" customFormat="1" ht="22.75" customHeight="1" thickBot="1">
      <c r="A85" s="836"/>
      <c r="B85" s="490" t="s">
        <v>614</v>
      </c>
      <c r="C85" s="628"/>
      <c r="D85" s="493"/>
      <c r="E85" s="486"/>
      <c r="F85" s="486"/>
      <c r="G85" s="486"/>
      <c r="H85" s="487"/>
    </row>
    <row r="86" spans="1:8" s="1" customFormat="1" ht="3.5" customHeight="1" thickBot="1">
      <c r="A86" s="714"/>
      <c r="B86" s="589"/>
      <c r="C86" s="590"/>
      <c r="D86" s="591"/>
      <c r="H86" s="42"/>
    </row>
    <row r="87" spans="1:8" s="1" customFormat="1">
      <c r="A87" s="826" t="s">
        <v>650</v>
      </c>
      <c r="B87" s="721"/>
      <c r="C87" s="565"/>
      <c r="D87" s="566"/>
      <c r="E87" s="559"/>
      <c r="F87" s="559"/>
      <c r="G87" s="559"/>
      <c r="H87" s="567"/>
    </row>
    <row r="88" spans="1:8" s="1" customFormat="1">
      <c r="A88" s="827"/>
      <c r="B88" s="206"/>
      <c r="C88" s="78"/>
      <c r="D88" s="79"/>
      <c r="E88" s="76"/>
      <c r="F88" s="76"/>
      <c r="G88" s="76"/>
      <c r="H88" s="114"/>
    </row>
    <row r="89" spans="1:8" s="1" customFormat="1">
      <c r="A89" s="827"/>
      <c r="B89" s="206"/>
      <c r="C89" s="78"/>
      <c r="D89" s="79"/>
      <c r="E89" s="76"/>
      <c r="F89" s="76"/>
      <c r="G89" s="76"/>
      <c r="H89" s="114"/>
    </row>
    <row r="90" spans="1:8" s="1" customFormat="1">
      <c r="A90" s="827"/>
      <c r="B90" s="206"/>
      <c r="C90" s="78"/>
      <c r="D90" s="79"/>
      <c r="E90" s="76"/>
      <c r="F90" s="76"/>
      <c r="G90" s="76"/>
      <c r="H90" s="114"/>
    </row>
    <row r="91" spans="1:8" s="1" customFormat="1">
      <c r="A91" s="827"/>
      <c r="B91" s="206"/>
      <c r="C91" s="78"/>
      <c r="D91" s="79"/>
      <c r="E91" s="76"/>
      <c r="F91" s="76"/>
      <c r="G91" s="76"/>
      <c r="H91" s="114"/>
    </row>
    <row r="92" spans="1:8" s="1" customFormat="1">
      <c r="A92" s="827"/>
      <c r="B92" s="206"/>
      <c r="C92" s="78"/>
      <c r="D92" s="79"/>
      <c r="E92" s="76"/>
      <c r="F92" s="76"/>
      <c r="G92" s="76"/>
      <c r="H92" s="114"/>
    </row>
    <row r="93" spans="1:8" s="1" customFormat="1">
      <c r="A93" s="827"/>
      <c r="B93" s="206"/>
      <c r="C93" s="78"/>
      <c r="D93" s="79"/>
      <c r="E93" s="76"/>
      <c r="F93" s="76"/>
      <c r="G93" s="76"/>
      <c r="H93" s="114"/>
    </row>
    <row r="94" spans="1:8" s="1" customFormat="1">
      <c r="A94" s="827"/>
      <c r="B94" s="206"/>
      <c r="C94" s="78"/>
      <c r="D94" s="79"/>
      <c r="E94" s="76"/>
      <c r="F94" s="76"/>
      <c r="G94" s="76"/>
      <c r="H94" s="114"/>
    </row>
    <row r="95" spans="1:8" s="1" customFormat="1" ht="16.5" thickBot="1">
      <c r="A95" s="828"/>
      <c r="B95" s="568"/>
      <c r="C95" s="569"/>
      <c r="D95" s="570"/>
      <c r="E95" s="571"/>
      <c r="F95" s="571"/>
      <c r="G95" s="571"/>
      <c r="H95" s="572"/>
    </row>
  </sheetData>
  <mergeCells count="20">
    <mergeCell ref="A1:H1"/>
    <mergeCell ref="A2:A18"/>
    <mergeCell ref="D7:E7"/>
    <mergeCell ref="G7:H7"/>
    <mergeCell ref="B17:B18"/>
    <mergeCell ref="C5:D5"/>
    <mergeCell ref="C6:D6"/>
    <mergeCell ref="F10:H10"/>
    <mergeCell ref="C3:H3"/>
    <mergeCell ref="C2:H2"/>
    <mergeCell ref="A20:A28"/>
    <mergeCell ref="A30:A43"/>
    <mergeCell ref="A45:A57"/>
    <mergeCell ref="F14:G14"/>
    <mergeCell ref="F15:H15"/>
    <mergeCell ref="A72:A85"/>
    <mergeCell ref="D72:H72"/>
    <mergeCell ref="A87:A95"/>
    <mergeCell ref="I59:I65"/>
    <mergeCell ref="A59:A71"/>
  </mergeCells>
  <phoneticPr fontId="16" type="noConversion"/>
  <pageMargins left="0.69972223043441772" right="0.69972223043441772" top="0.75" bottom="0.75" header="0.30000001192092896" footer="0.30000001192092896"/>
  <pageSetup paperSize="9" scale="46" orientation="portrait" horizontalDpi="4294967293" verticalDpi="4294967293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68"/>
  <sheetViews>
    <sheetView showGridLines="0" topLeftCell="A40" zoomScale="85" zoomScaleNormal="85" zoomScaleSheetLayoutView="70" workbookViewId="0">
      <selection activeCell="C48" sqref="C48"/>
    </sheetView>
  </sheetViews>
  <sheetFormatPr defaultColWidth="13.4140625" defaultRowHeight="16"/>
  <cols>
    <col min="1" max="1" width="4.9140625" style="1" customWidth="1"/>
    <col min="2" max="2" width="17.5" style="2" bestFit="1" customWidth="1"/>
    <col min="3" max="3" width="26.5" style="3" customWidth="1"/>
    <col min="4" max="4" width="19.6640625" style="4" customWidth="1"/>
    <col min="5" max="5" width="21.6640625" style="1" bestFit="1" customWidth="1"/>
    <col min="6" max="6" width="18.6640625" style="1" customWidth="1"/>
    <col min="7" max="7" width="18.08203125" style="1" bestFit="1" customWidth="1"/>
    <col min="8" max="8" width="13.4140625" style="1" bestFit="1" customWidth="1"/>
    <col min="9" max="9" width="26.33203125" style="1" bestFit="1" customWidth="1"/>
    <col min="10" max="16384" width="13.4140625" style="1"/>
  </cols>
  <sheetData>
    <row r="1" spans="1:8" ht="31.5" customHeight="1" thickBot="1">
      <c r="A1" s="872" t="s">
        <v>808</v>
      </c>
      <c r="B1" s="873"/>
      <c r="C1" s="873"/>
      <c r="D1" s="873"/>
      <c r="E1" s="873"/>
      <c r="F1" s="873"/>
      <c r="G1" s="873"/>
      <c r="H1" s="874"/>
    </row>
    <row r="2" spans="1:8">
      <c r="A2" s="875" t="s">
        <v>112</v>
      </c>
      <c r="B2" s="6" t="s">
        <v>420</v>
      </c>
      <c r="C2" s="7" t="s">
        <v>808</v>
      </c>
      <c r="D2" s="8"/>
      <c r="E2" s="9"/>
      <c r="F2" s="9"/>
      <c r="G2" s="9"/>
      <c r="H2" s="10"/>
    </row>
    <row r="3" spans="1:8">
      <c r="A3" s="876"/>
      <c r="B3" s="11" t="s">
        <v>471</v>
      </c>
      <c r="C3" s="12" t="s">
        <v>809</v>
      </c>
      <c r="D3" s="13"/>
      <c r="E3" s="14"/>
      <c r="F3" s="14"/>
      <c r="G3" s="14"/>
      <c r="H3" s="15"/>
    </row>
    <row r="4" spans="1:8">
      <c r="A4" s="876"/>
      <c r="B4" s="11" t="s">
        <v>407</v>
      </c>
      <c r="C4" s="856"/>
      <c r="D4" s="857"/>
      <c r="E4" s="548" t="s">
        <v>644</v>
      </c>
      <c r="F4" s="529">
        <v>4500000</v>
      </c>
      <c r="G4" s="14"/>
      <c r="H4" s="15"/>
    </row>
    <row r="5" spans="1:8" ht="31.75" customHeight="1">
      <c r="A5" s="827"/>
      <c r="B5" s="16" t="s">
        <v>626</v>
      </c>
      <c r="C5" s="17">
        <v>53905</v>
      </c>
      <c r="D5" s="882" t="s">
        <v>624</v>
      </c>
      <c r="E5" s="859"/>
      <c r="F5" s="250">
        <f>C5*0.3025/C7</f>
        <v>9.5919191176470591</v>
      </c>
      <c r="G5" s="858" t="s">
        <v>522</v>
      </c>
      <c r="H5" s="883"/>
    </row>
    <row r="6" spans="1:8">
      <c r="A6" s="827"/>
      <c r="B6" s="16" t="s">
        <v>425</v>
      </c>
      <c r="C6" s="17">
        <v>10</v>
      </c>
      <c r="D6" s="544" t="s">
        <v>627</v>
      </c>
      <c r="E6" s="530"/>
      <c r="F6" s="538" t="s">
        <v>628</v>
      </c>
      <c r="G6" s="884">
        <f>C5-E6</f>
        <v>53905</v>
      </c>
      <c r="H6" s="885"/>
    </row>
    <row r="7" spans="1:8">
      <c r="A7" s="827"/>
      <c r="B7" s="16" t="s">
        <v>121</v>
      </c>
      <c r="C7" s="17">
        <v>1700</v>
      </c>
      <c r="D7" s="21" t="s">
        <v>39</v>
      </c>
      <c r="E7" s="251">
        <f>C7/C9</f>
        <v>0.44584316810910046</v>
      </c>
      <c r="F7" s="18"/>
      <c r="G7" s="19"/>
      <c r="H7" s="20"/>
    </row>
    <row r="8" spans="1:8">
      <c r="A8" s="827"/>
      <c r="B8" s="16" t="s">
        <v>54</v>
      </c>
      <c r="C8" s="249">
        <f>C9-C7</f>
        <v>2113</v>
      </c>
      <c r="D8" s="21" t="s">
        <v>145</v>
      </c>
      <c r="E8" s="251">
        <f>C8/C9</f>
        <v>0.55415683189089959</v>
      </c>
      <c r="F8" s="863" t="s">
        <v>29</v>
      </c>
      <c r="G8" s="864"/>
      <c r="H8" s="865"/>
    </row>
    <row r="9" spans="1:8">
      <c r="A9" s="827"/>
      <c r="B9" s="16" t="s">
        <v>125</v>
      </c>
      <c r="C9" s="17">
        <v>3813</v>
      </c>
      <c r="D9" s="614"/>
      <c r="E9" s="19"/>
      <c r="F9" s="19"/>
      <c r="G9" s="19"/>
      <c r="H9" s="20"/>
    </row>
    <row r="10" spans="1:8">
      <c r="A10" s="827"/>
      <c r="B10" s="16" t="s">
        <v>427</v>
      </c>
      <c r="C10" s="24">
        <v>0.18110000000000001</v>
      </c>
      <c r="D10" s="551" t="s">
        <v>84</v>
      </c>
      <c r="E10" s="545">
        <f>G6*C10</f>
        <v>9762.1954999999998</v>
      </c>
      <c r="F10" s="544" t="s">
        <v>41</v>
      </c>
      <c r="G10" s="541">
        <f>E11/E10</f>
        <v>13.692987299834346</v>
      </c>
      <c r="H10" s="29"/>
    </row>
    <row r="11" spans="1:8">
      <c r="A11" s="827"/>
      <c r="B11" s="16" t="s">
        <v>466</v>
      </c>
      <c r="C11" s="24">
        <v>2.4798</v>
      </c>
      <c r="D11" s="551" t="s">
        <v>631</v>
      </c>
      <c r="E11" s="546">
        <f>G6*C11</f>
        <v>133673.61900000001</v>
      </c>
      <c r="F11" s="544" t="s">
        <v>209</v>
      </c>
      <c r="G11" s="541">
        <f>E11*76%</f>
        <v>101591.95044</v>
      </c>
      <c r="H11" s="31"/>
    </row>
    <row r="12" spans="1:8" ht="32">
      <c r="A12" s="827"/>
      <c r="B12" s="16" t="s">
        <v>208</v>
      </c>
      <c r="C12" s="706" t="s">
        <v>1085</v>
      </c>
      <c r="D12" s="550" t="s">
        <v>629</v>
      </c>
      <c r="E12" s="529" t="s">
        <v>625</v>
      </c>
      <c r="F12" s="542" t="s">
        <v>234</v>
      </c>
      <c r="G12" s="543">
        <f>G11/C35</f>
        <v>1.6964790334646984</v>
      </c>
      <c r="H12" s="55"/>
    </row>
    <row r="13" spans="1:8">
      <c r="A13" s="827"/>
      <c r="B13" s="16" t="s">
        <v>441</v>
      </c>
      <c r="C13" s="25" t="s">
        <v>1078</v>
      </c>
      <c r="D13" s="544" t="s">
        <v>630</v>
      </c>
      <c r="E13" s="547" t="e">
        <f>C7*E12</f>
        <v>#VALUE!</v>
      </c>
      <c r="F13" s="540" t="s">
        <v>632</v>
      </c>
      <c r="G13" s="541">
        <f>E11*0.3025/F5</f>
        <v>4215.66</v>
      </c>
      <c r="H13" s="20"/>
    </row>
    <row r="14" spans="1:8">
      <c r="A14" s="827"/>
      <c r="B14" s="32" t="s">
        <v>641</v>
      </c>
      <c r="C14" s="33">
        <v>1.1000000000000001</v>
      </c>
      <c r="D14" s="549" t="s">
        <v>633</v>
      </c>
      <c r="E14" s="530" t="s">
        <v>625</v>
      </c>
      <c r="F14" s="538" t="s">
        <v>645</v>
      </c>
      <c r="G14" s="539" t="e">
        <f>E14*G13</f>
        <v>#VALUE!</v>
      </c>
      <c r="H14" s="20"/>
    </row>
    <row r="15" spans="1:8" ht="3.65" customHeight="1" thickBot="1">
      <c r="A15" s="827"/>
      <c r="B15" s="516"/>
      <c r="C15" s="517"/>
      <c r="D15" s="518"/>
      <c r="E15" s="155"/>
      <c r="F15" s="514"/>
      <c r="G15" s="519"/>
      <c r="H15" s="156"/>
    </row>
    <row r="16" spans="1:8" ht="16.5" thickTop="1">
      <c r="A16" s="877"/>
      <c r="B16" s="520" t="s">
        <v>635</v>
      </c>
      <c r="C16" s="521" t="e">
        <f>E16+G16</f>
        <v>#VALUE!</v>
      </c>
      <c r="D16" s="522" t="s">
        <v>643</v>
      </c>
      <c r="E16" s="523" t="e">
        <f>G14*F4</f>
        <v>#VALUE!</v>
      </c>
      <c r="F16" s="524" t="s">
        <v>634</v>
      </c>
      <c r="G16" s="523" t="e">
        <f>E16*30%</f>
        <v>#VALUE!</v>
      </c>
      <c r="H16" s="525"/>
    </row>
    <row r="17" spans="1:8">
      <c r="A17" s="877"/>
      <c r="B17" s="526" t="s">
        <v>638</v>
      </c>
      <c r="C17" s="527" t="e">
        <f>(E17*C7)+(G17*C8)</f>
        <v>#VALUE!</v>
      </c>
      <c r="D17" s="528" t="s">
        <v>636</v>
      </c>
      <c r="E17" s="529" t="s">
        <v>625</v>
      </c>
      <c r="F17" s="530" t="s">
        <v>637</v>
      </c>
      <c r="G17" s="529" t="s">
        <v>625</v>
      </c>
      <c r="H17" s="531"/>
    </row>
    <row r="18" spans="1:8" ht="32.5" thickBot="1">
      <c r="A18" s="877"/>
      <c r="B18" s="532" t="s">
        <v>642</v>
      </c>
      <c r="C18" s="533" t="e">
        <f>E18/E13</f>
        <v>#VALUE!</v>
      </c>
      <c r="D18" s="534" t="s">
        <v>639</v>
      </c>
      <c r="E18" s="535" t="e">
        <f>C17-C16</f>
        <v>#VALUE!</v>
      </c>
      <c r="F18" s="536" t="s">
        <v>640</v>
      </c>
      <c r="G18" s="535" t="e">
        <f>E18/C7</f>
        <v>#VALUE!</v>
      </c>
      <c r="H18" s="537"/>
    </row>
    <row r="19" spans="1:8" ht="5.25" customHeight="1" thickTop="1" thickBot="1">
      <c r="A19" s="39"/>
      <c r="B19" s="515"/>
      <c r="C19" s="41"/>
      <c r="D19" s="41"/>
      <c r="H19" s="42"/>
    </row>
    <row r="20" spans="1:8">
      <c r="A20" s="875" t="s">
        <v>49</v>
      </c>
      <c r="B20" s="43" t="s">
        <v>81</v>
      </c>
      <c r="C20" s="44" t="s">
        <v>1134</v>
      </c>
      <c r="D20" s="45"/>
      <c r="E20" s="9"/>
      <c r="F20" s="9"/>
      <c r="G20" s="9"/>
      <c r="H20" s="10"/>
    </row>
    <row r="21" spans="1:8">
      <c r="A21" s="827"/>
      <c r="B21" s="25" t="s">
        <v>147</v>
      </c>
      <c r="C21" s="46" t="s">
        <v>705</v>
      </c>
      <c r="D21" s="47"/>
      <c r="E21" s="19"/>
      <c r="F21" s="19"/>
      <c r="G21" s="19"/>
      <c r="H21" s="20"/>
    </row>
    <row r="22" spans="1:8">
      <c r="A22" s="827"/>
      <c r="B22" s="25" t="s">
        <v>98</v>
      </c>
      <c r="C22" s="46" t="s">
        <v>706</v>
      </c>
      <c r="D22" s="47"/>
      <c r="E22" s="19"/>
      <c r="F22" s="19"/>
      <c r="G22" s="19"/>
      <c r="H22" s="20"/>
    </row>
    <row r="23" spans="1:8">
      <c r="A23" s="827"/>
      <c r="B23" s="25" t="s">
        <v>73</v>
      </c>
      <c r="C23" s="25" t="s">
        <v>707</v>
      </c>
      <c r="D23" s="23"/>
      <c r="E23" s="19"/>
      <c r="F23" s="19"/>
      <c r="G23" s="19"/>
      <c r="H23" s="20"/>
    </row>
    <row r="24" spans="1:8">
      <c r="A24" s="827"/>
      <c r="B24" s="25" t="s">
        <v>452</v>
      </c>
      <c r="C24" s="25" t="s">
        <v>708</v>
      </c>
      <c r="D24" s="23"/>
      <c r="E24" s="19"/>
      <c r="F24" s="19"/>
      <c r="G24" s="19"/>
      <c r="H24" s="20"/>
    </row>
    <row r="25" spans="1:8">
      <c r="A25" s="827"/>
      <c r="B25" s="25" t="s">
        <v>445</v>
      </c>
      <c r="C25" s="25" t="s">
        <v>593</v>
      </c>
      <c r="D25" s="23"/>
      <c r="E25" s="19"/>
      <c r="F25" s="19"/>
      <c r="G25" s="19"/>
      <c r="H25" s="20"/>
    </row>
    <row r="26" spans="1:8">
      <c r="A26" s="827"/>
      <c r="B26" s="25" t="s">
        <v>167</v>
      </c>
      <c r="C26" s="25" t="s">
        <v>621</v>
      </c>
      <c r="D26" s="23"/>
      <c r="E26" s="19"/>
      <c r="F26" s="19"/>
      <c r="G26" s="19"/>
      <c r="H26" s="20"/>
    </row>
    <row r="27" spans="1:8" ht="16.5" thickBot="1">
      <c r="A27" s="828"/>
      <c r="B27" s="613" t="s">
        <v>447</v>
      </c>
      <c r="C27" s="613" t="s">
        <v>687</v>
      </c>
      <c r="D27" s="48"/>
      <c r="E27" s="37"/>
      <c r="F27" s="37"/>
      <c r="G27" s="37"/>
      <c r="H27" s="38"/>
    </row>
    <row r="28" spans="1:8" ht="5.25" customHeight="1" thickBot="1">
      <c r="A28" s="39"/>
      <c r="B28" s="40"/>
      <c r="H28" s="42"/>
    </row>
    <row r="29" spans="1:8" s="5" customFormat="1">
      <c r="A29" s="875" t="s">
        <v>160</v>
      </c>
      <c r="B29" s="241" t="s">
        <v>101</v>
      </c>
      <c r="C29" s="242" t="s">
        <v>48</v>
      </c>
      <c r="D29" s="243" t="s">
        <v>125</v>
      </c>
      <c r="E29" s="243" t="s">
        <v>526</v>
      </c>
      <c r="F29" s="243" t="s">
        <v>527</v>
      </c>
      <c r="G29" s="243" t="s">
        <v>528</v>
      </c>
      <c r="H29" s="244" t="s">
        <v>454</v>
      </c>
    </row>
    <row r="30" spans="1:8">
      <c r="A30" s="827"/>
      <c r="B30" s="16" t="s">
        <v>317</v>
      </c>
      <c r="C30" s="53">
        <f>38*D30</f>
        <v>2432</v>
      </c>
      <c r="D30" s="17">
        <v>64</v>
      </c>
      <c r="E30" s="54"/>
      <c r="F30" s="54"/>
      <c r="G30" s="54"/>
      <c r="H30" s="55">
        <f>D30/$D$35</f>
        <v>7.3563218390804597E-2</v>
      </c>
    </row>
    <row r="31" spans="1:8">
      <c r="A31" s="827"/>
      <c r="B31" s="16" t="s">
        <v>1087</v>
      </c>
      <c r="C31" s="53">
        <f>59*D31</f>
        <v>23777</v>
      </c>
      <c r="D31" s="17">
        <v>403</v>
      </c>
      <c r="E31" s="54"/>
      <c r="F31" s="160">
        <f>D31-E31</f>
        <v>403</v>
      </c>
      <c r="G31" s="54"/>
      <c r="H31" s="55">
        <f>D31/$D$35</f>
        <v>0.4632183908045977</v>
      </c>
    </row>
    <row r="32" spans="1:8">
      <c r="A32" s="827"/>
      <c r="B32" s="16" t="s">
        <v>1086</v>
      </c>
      <c r="C32" s="53">
        <f>84*D32</f>
        <v>18480</v>
      </c>
      <c r="D32" s="17">
        <v>220</v>
      </c>
      <c r="E32" s="54"/>
      <c r="F32" s="160">
        <f t="shared" ref="F32:F34" si="0">D32-E32</f>
        <v>220</v>
      </c>
      <c r="G32" s="54"/>
      <c r="H32" s="55">
        <f>D32/$D$35</f>
        <v>0.25287356321839083</v>
      </c>
    </row>
    <row r="33" spans="1:9">
      <c r="A33" s="827"/>
      <c r="B33" s="16" t="s">
        <v>1088</v>
      </c>
      <c r="C33" s="53">
        <f>75*D33</f>
        <v>10575</v>
      </c>
      <c r="D33" s="17">
        <v>141</v>
      </c>
      <c r="E33" s="54"/>
      <c r="F33" s="160">
        <f t="shared" si="0"/>
        <v>141</v>
      </c>
      <c r="G33" s="54"/>
      <c r="H33" s="55">
        <f>D33/$D$35</f>
        <v>0.16206896551724137</v>
      </c>
    </row>
    <row r="34" spans="1:9">
      <c r="A34" s="827"/>
      <c r="B34" s="129" t="s">
        <v>1089</v>
      </c>
      <c r="C34" s="53">
        <f>110*D34</f>
        <v>4620</v>
      </c>
      <c r="D34" s="17">
        <v>42</v>
      </c>
      <c r="E34" s="54"/>
      <c r="F34" s="160">
        <f t="shared" si="0"/>
        <v>42</v>
      </c>
      <c r="G34" s="54"/>
      <c r="H34" s="55">
        <f>D34/$D$35</f>
        <v>4.8275862068965517E-2</v>
      </c>
    </row>
    <row r="35" spans="1:9" ht="16.5" thickBot="1">
      <c r="A35" s="828"/>
      <c r="B35" s="56" t="s">
        <v>462</v>
      </c>
      <c r="C35" s="57">
        <f t="shared" ref="C35:H35" si="1">SUM(C30:C34)</f>
        <v>59884</v>
      </c>
      <c r="D35" s="58">
        <f t="shared" si="1"/>
        <v>870</v>
      </c>
      <c r="E35" s="59">
        <f t="shared" si="1"/>
        <v>0</v>
      </c>
      <c r="F35" s="59">
        <f t="shared" si="1"/>
        <v>806</v>
      </c>
      <c r="G35" s="59">
        <f t="shared" si="1"/>
        <v>0</v>
      </c>
      <c r="H35" s="60">
        <f t="shared" si="1"/>
        <v>1</v>
      </c>
    </row>
    <row r="36" spans="1:9" ht="4.5" customHeight="1" thickBot="1">
      <c r="A36" s="39"/>
      <c r="B36" s="40"/>
      <c r="H36" s="42"/>
    </row>
    <row r="37" spans="1:9" s="2" customFormat="1">
      <c r="A37" s="962" t="s">
        <v>393</v>
      </c>
      <c r="B37" s="241" t="s">
        <v>101</v>
      </c>
      <c r="C37" s="243" t="s">
        <v>901</v>
      </c>
      <c r="D37" s="243" t="s">
        <v>902</v>
      </c>
      <c r="E37" s="243" t="s">
        <v>43</v>
      </c>
      <c r="F37" s="243" t="s">
        <v>903</v>
      </c>
      <c r="G37" s="245" t="s">
        <v>46</v>
      </c>
      <c r="H37" s="246" t="s">
        <v>470</v>
      </c>
    </row>
    <row r="38" spans="1:9" ht="16.5" customHeight="1">
      <c r="A38" s="963"/>
      <c r="B38" s="16" t="s">
        <v>317</v>
      </c>
      <c r="C38" s="62"/>
      <c r="D38" s="63"/>
      <c r="E38" s="252"/>
      <c r="F38" s="63"/>
      <c r="G38" s="252"/>
      <c r="H38" s="31"/>
    </row>
    <row r="39" spans="1:9" ht="16.5" customHeight="1">
      <c r="A39" s="963"/>
      <c r="B39" s="16" t="s">
        <v>1087</v>
      </c>
      <c r="C39" s="62"/>
      <c r="D39" s="63"/>
      <c r="E39" s="252">
        <f>(D39-C39)*25</f>
        <v>0</v>
      </c>
      <c r="F39" s="63"/>
      <c r="G39" s="252">
        <f>(F39-C39)*25</f>
        <v>0</v>
      </c>
      <c r="H39" s="31"/>
    </row>
    <row r="40" spans="1:9" ht="16.5" customHeight="1">
      <c r="A40" s="963"/>
      <c r="B40" s="16" t="s">
        <v>1086</v>
      </c>
      <c r="C40" s="724">
        <f>F40*70%</f>
        <v>19103000</v>
      </c>
      <c r="D40" s="63">
        <f>F40-2000000</f>
        <v>25290000</v>
      </c>
      <c r="E40" s="252">
        <f>(D40-C40)*25</f>
        <v>154675000</v>
      </c>
      <c r="F40" s="723">
        <v>27290000</v>
      </c>
      <c r="G40" s="252">
        <f>(F40-C40)*25</f>
        <v>204675000</v>
      </c>
      <c r="H40" s="31" t="s">
        <v>1387</v>
      </c>
    </row>
    <row r="41" spans="1:9" ht="16.5" customHeight="1">
      <c r="A41" s="963"/>
      <c r="B41" s="16" t="s">
        <v>1088</v>
      </c>
      <c r="C41" s="62"/>
      <c r="D41" s="63"/>
      <c r="E41" s="252">
        <f>(D41-C41)*34</f>
        <v>0</v>
      </c>
      <c r="F41" s="63"/>
      <c r="G41" s="252">
        <f>(F41-C41)*34</f>
        <v>0</v>
      </c>
      <c r="H41" s="31"/>
    </row>
    <row r="42" spans="1:9" ht="16.5" customHeight="1">
      <c r="A42" s="963"/>
      <c r="B42" s="129" t="s">
        <v>1089</v>
      </c>
      <c r="C42" s="62"/>
      <c r="D42" s="63"/>
      <c r="E42" s="252">
        <f>(D42-C42)*34</f>
        <v>0</v>
      </c>
      <c r="F42" s="63"/>
      <c r="G42" s="252">
        <f>(F42-C42)*34</f>
        <v>0</v>
      </c>
      <c r="H42" s="31"/>
    </row>
    <row r="43" spans="1:9" ht="5.25" customHeight="1" thickBot="1">
      <c r="A43" s="67"/>
      <c r="C43" s="68"/>
      <c r="D43" s="69"/>
      <c r="E43" s="69"/>
      <c r="F43" s="69"/>
      <c r="G43" s="69"/>
    </row>
    <row r="44" spans="1:9" ht="58.5" customHeight="1">
      <c r="A44" s="833" t="s">
        <v>257</v>
      </c>
      <c r="B44" s="243" t="s">
        <v>101</v>
      </c>
      <c r="C44" s="508" t="s">
        <v>1395</v>
      </c>
      <c r="D44" s="247" t="s">
        <v>247</v>
      </c>
      <c r="E44" s="247" t="s">
        <v>322</v>
      </c>
      <c r="F44" s="247" t="s">
        <v>222</v>
      </c>
      <c r="G44" s="247" t="s">
        <v>367</v>
      </c>
      <c r="H44" s="243" t="s">
        <v>1136</v>
      </c>
      <c r="I44" s="824" t="s">
        <v>1206</v>
      </c>
    </row>
    <row r="45" spans="1:9" ht="15" customHeight="1">
      <c r="A45" s="878"/>
      <c r="B45" s="25" t="s">
        <v>317</v>
      </c>
      <c r="C45" s="71" t="s">
        <v>436</v>
      </c>
      <c r="D45" s="62">
        <f>E38</f>
        <v>0</v>
      </c>
      <c r="E45" s="253" t="e">
        <f t="shared" ref="E45:E49" si="2">D45-C45</f>
        <v>#VALUE!</v>
      </c>
      <c r="F45" s="62">
        <f>G38</f>
        <v>0</v>
      </c>
      <c r="G45" s="253" t="e">
        <f t="shared" ref="G45:G49" si="3">F45-C45</f>
        <v>#VALUE!</v>
      </c>
      <c r="H45" s="62"/>
      <c r="I45" s="825"/>
    </row>
    <row r="46" spans="1:9">
      <c r="A46" s="834"/>
      <c r="B46" s="25" t="s">
        <v>1087</v>
      </c>
      <c r="C46" s="71" t="s">
        <v>625</v>
      </c>
      <c r="D46" s="62">
        <f>E39</f>
        <v>0</v>
      </c>
      <c r="E46" s="253" t="e">
        <f t="shared" si="2"/>
        <v>#VALUE!</v>
      </c>
      <c r="F46" s="62">
        <f>G39</f>
        <v>0</v>
      </c>
      <c r="G46" s="253" t="e">
        <f t="shared" si="3"/>
        <v>#VALUE!</v>
      </c>
      <c r="H46" s="62"/>
      <c r="I46" s="825"/>
    </row>
    <row r="47" spans="1:9" ht="17">
      <c r="A47" s="834"/>
      <c r="B47" s="25" t="s">
        <v>1086</v>
      </c>
      <c r="C47" s="71">
        <v>870000000</v>
      </c>
      <c r="D47" s="62">
        <f>E40</f>
        <v>154675000</v>
      </c>
      <c r="E47" s="253">
        <f t="shared" si="2"/>
        <v>-715325000</v>
      </c>
      <c r="F47" s="62">
        <f>G40</f>
        <v>204675000</v>
      </c>
      <c r="G47" s="253">
        <f t="shared" si="3"/>
        <v>-665325000</v>
      </c>
      <c r="H47" s="62">
        <f>(C47+(C40*34))/34</f>
        <v>44691235.294117644</v>
      </c>
      <c r="I47" s="751">
        <f>H47/F40</f>
        <v>1.6376414545297782</v>
      </c>
    </row>
    <row r="48" spans="1:9">
      <c r="A48" s="834"/>
      <c r="B48" s="25" t="s">
        <v>1088</v>
      </c>
      <c r="C48" s="71" t="s">
        <v>625</v>
      </c>
      <c r="D48" s="62">
        <f>E41</f>
        <v>0</v>
      </c>
      <c r="E48" s="253" t="e">
        <f t="shared" si="2"/>
        <v>#VALUE!</v>
      </c>
      <c r="F48" s="62">
        <f>G41</f>
        <v>0</v>
      </c>
      <c r="G48" s="253" t="e">
        <f t="shared" si="3"/>
        <v>#VALUE!</v>
      </c>
      <c r="H48" s="62"/>
      <c r="I48" s="31"/>
    </row>
    <row r="49" spans="1:9" ht="16.5" thickBot="1">
      <c r="A49" s="836"/>
      <c r="B49" s="175" t="s">
        <v>1089</v>
      </c>
      <c r="C49" s="74" t="s">
        <v>625</v>
      </c>
      <c r="D49" s="64">
        <f>E42</f>
        <v>0</v>
      </c>
      <c r="E49" s="255" t="e">
        <f t="shared" si="2"/>
        <v>#VALUE!</v>
      </c>
      <c r="F49" s="64">
        <f>G42</f>
        <v>0</v>
      </c>
      <c r="G49" s="255" t="e">
        <f t="shared" si="3"/>
        <v>#VALUE!</v>
      </c>
      <c r="H49" s="64"/>
      <c r="I49" s="66"/>
    </row>
    <row r="50" spans="1:9" ht="5" customHeight="1" thickBot="1"/>
    <row r="51" spans="1:9">
      <c r="A51" s="833" t="s">
        <v>598</v>
      </c>
      <c r="B51" s="243" t="s">
        <v>599</v>
      </c>
      <c r="C51" s="242" t="s">
        <v>895</v>
      </c>
      <c r="D51" s="815" t="s">
        <v>600</v>
      </c>
      <c r="E51" s="816"/>
      <c r="F51" s="816"/>
      <c r="G51" s="816"/>
      <c r="H51" s="817"/>
    </row>
    <row r="52" spans="1:9">
      <c r="A52" s="834"/>
      <c r="B52" s="165" t="s">
        <v>1108</v>
      </c>
      <c r="C52" s="626">
        <v>2000</v>
      </c>
      <c r="D52" s="492"/>
      <c r="H52" s="42"/>
    </row>
    <row r="53" spans="1:9">
      <c r="A53" s="835"/>
      <c r="B53" s="165" t="s">
        <v>601</v>
      </c>
      <c r="C53" s="627">
        <v>2150</v>
      </c>
      <c r="D53" s="492"/>
      <c r="H53" s="42"/>
    </row>
    <row r="54" spans="1:9">
      <c r="A54" s="835"/>
      <c r="B54" s="165" t="s">
        <v>602</v>
      </c>
      <c r="C54" s="627">
        <v>2500</v>
      </c>
      <c r="D54" s="492"/>
      <c r="H54" s="42"/>
    </row>
    <row r="55" spans="1:9">
      <c r="A55" s="835"/>
      <c r="B55" s="165" t="s">
        <v>603</v>
      </c>
      <c r="C55" s="627">
        <v>2600</v>
      </c>
      <c r="D55" s="492"/>
      <c r="H55" s="42"/>
    </row>
    <row r="56" spans="1:9">
      <c r="A56" s="835"/>
      <c r="B56" s="165" t="s">
        <v>604</v>
      </c>
      <c r="C56" s="627">
        <v>4116</v>
      </c>
      <c r="D56" s="492"/>
      <c r="H56" s="42"/>
    </row>
    <row r="57" spans="1:9">
      <c r="A57" s="835"/>
      <c r="B57" s="165" t="s">
        <v>605</v>
      </c>
      <c r="C57" s="627">
        <f>H47/10000</f>
        <v>4469.1235294117641</v>
      </c>
      <c r="D57" s="492"/>
      <c r="H57" s="42"/>
    </row>
    <row r="58" spans="1:9">
      <c r="A58" s="835"/>
      <c r="B58" s="165" t="s">
        <v>606</v>
      </c>
      <c r="C58" s="627"/>
      <c r="D58" s="492"/>
      <c r="H58" s="42"/>
    </row>
    <row r="59" spans="1:9">
      <c r="A59" s="835"/>
      <c r="B59" s="165" t="s">
        <v>607</v>
      </c>
      <c r="C59" s="627"/>
      <c r="D59" s="492"/>
      <c r="H59" s="42"/>
    </row>
    <row r="60" spans="1:9">
      <c r="A60" s="835"/>
      <c r="B60" s="165" t="s">
        <v>608</v>
      </c>
      <c r="C60" s="627"/>
      <c r="D60" s="492"/>
      <c r="H60" s="42"/>
    </row>
    <row r="61" spans="1:9">
      <c r="A61" s="835"/>
      <c r="B61" s="165" t="s">
        <v>1201</v>
      </c>
      <c r="C61" s="627"/>
      <c r="D61" s="492"/>
      <c r="H61" s="42"/>
    </row>
    <row r="62" spans="1:9" ht="17.5" thickBot="1">
      <c r="A62" s="836"/>
      <c r="B62" s="490" t="s">
        <v>614</v>
      </c>
      <c r="C62" s="628"/>
      <c r="D62" s="493"/>
      <c r="E62" s="486"/>
      <c r="F62" s="486"/>
      <c r="G62" s="486"/>
      <c r="H62" s="487"/>
    </row>
    <row r="63" spans="1:9">
      <c r="A63" s="826" t="s">
        <v>650</v>
      </c>
      <c r="B63" s="582" t="s">
        <v>860</v>
      </c>
      <c r="C63" s="565"/>
      <c r="D63" s="566"/>
      <c r="E63" s="559"/>
      <c r="F63" s="559"/>
      <c r="G63" s="559"/>
      <c r="H63" s="567"/>
    </row>
    <row r="64" spans="1:9">
      <c r="A64" s="827"/>
      <c r="B64" s="206" t="s">
        <v>861</v>
      </c>
      <c r="C64" s="78"/>
      <c r="D64" s="79"/>
      <c r="E64" s="76"/>
      <c r="F64" s="76"/>
      <c r="G64" s="76"/>
      <c r="H64" s="114"/>
    </row>
    <row r="65" spans="1:8">
      <c r="A65" s="827"/>
      <c r="B65" s="206" t="s">
        <v>862</v>
      </c>
      <c r="C65" s="78"/>
      <c r="D65" s="79"/>
      <c r="E65" s="76"/>
      <c r="F65" s="76"/>
      <c r="G65" s="76"/>
      <c r="H65" s="114"/>
    </row>
    <row r="66" spans="1:8">
      <c r="A66" s="827"/>
      <c r="B66" s="206" t="s">
        <v>863</v>
      </c>
      <c r="C66" s="78"/>
      <c r="D66" s="79"/>
      <c r="E66" s="76"/>
      <c r="F66" s="76"/>
      <c r="G66" s="76"/>
      <c r="H66" s="114"/>
    </row>
    <row r="67" spans="1:8">
      <c r="A67" s="827"/>
      <c r="B67" s="206" t="s">
        <v>864</v>
      </c>
      <c r="C67" s="78"/>
      <c r="D67" s="79"/>
      <c r="E67" s="76"/>
      <c r="F67" s="76"/>
      <c r="G67" s="76"/>
      <c r="H67" s="114"/>
    </row>
    <row r="68" spans="1:8" ht="16.5" thickBot="1">
      <c r="A68" s="828"/>
      <c r="B68" s="568" t="s">
        <v>865</v>
      </c>
      <c r="C68" s="569"/>
      <c r="D68" s="570"/>
      <c r="E68" s="571"/>
      <c r="F68" s="571"/>
      <c r="G68" s="571"/>
      <c r="H68" s="572"/>
    </row>
  </sheetData>
  <mergeCells count="15">
    <mergeCell ref="A1:H1"/>
    <mergeCell ref="A2:A18"/>
    <mergeCell ref="C4:D4"/>
    <mergeCell ref="D5:E5"/>
    <mergeCell ref="G5:H5"/>
    <mergeCell ref="G6:H6"/>
    <mergeCell ref="F8:H8"/>
    <mergeCell ref="I44:I46"/>
    <mergeCell ref="A63:A68"/>
    <mergeCell ref="A20:A27"/>
    <mergeCell ref="A29:A35"/>
    <mergeCell ref="A37:A42"/>
    <mergeCell ref="A44:A49"/>
    <mergeCell ref="A51:A62"/>
    <mergeCell ref="D51:H51"/>
  </mergeCells>
  <phoneticPr fontId="16" type="noConversion"/>
  <pageMargins left="0.69972223043441772" right="0.69972223043441772" top="0.75" bottom="0.75" header="0.30000001192092896" footer="0.30000001192092896"/>
  <pageSetup paperSize="9" scale="86" orientation="portrait" horizontalDpi="4294967293" verticalDpi="4294967293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71"/>
  <sheetViews>
    <sheetView showGridLines="0" topLeftCell="A49" zoomScale="85" zoomScaleNormal="85" zoomScaleSheetLayoutView="70" workbookViewId="0">
      <selection activeCell="C52" sqref="C52"/>
    </sheetView>
  </sheetViews>
  <sheetFormatPr defaultColWidth="13.4140625" defaultRowHeight="16"/>
  <cols>
    <col min="1" max="1" width="4.9140625" style="1" customWidth="1"/>
    <col min="2" max="2" width="17.5" style="2" bestFit="1" customWidth="1"/>
    <col min="3" max="3" width="24.33203125" style="3" bestFit="1" customWidth="1"/>
    <col min="4" max="4" width="19.6640625" style="4" customWidth="1"/>
    <col min="5" max="5" width="21.6640625" style="1" bestFit="1" customWidth="1"/>
    <col min="6" max="6" width="18.6640625" style="1" customWidth="1"/>
    <col min="7" max="7" width="18.08203125" style="1" bestFit="1" customWidth="1"/>
    <col min="8" max="8" width="13.4140625" style="1" bestFit="1" customWidth="1"/>
    <col min="9" max="9" width="26.33203125" style="1" bestFit="1" customWidth="1"/>
    <col min="10" max="16384" width="13.4140625" style="1"/>
  </cols>
  <sheetData>
    <row r="1" spans="1:8" ht="31.5" customHeight="1" thickBot="1">
      <c r="A1" s="872" t="s">
        <v>1349</v>
      </c>
      <c r="B1" s="873"/>
      <c r="C1" s="873"/>
      <c r="D1" s="873"/>
      <c r="E1" s="873"/>
      <c r="F1" s="873"/>
      <c r="G1" s="873"/>
      <c r="H1" s="874"/>
    </row>
    <row r="2" spans="1:8">
      <c r="A2" s="875" t="s">
        <v>112</v>
      </c>
      <c r="B2" s="6" t="s">
        <v>420</v>
      </c>
      <c r="C2" s="7" t="s">
        <v>1349</v>
      </c>
      <c r="D2" s="8"/>
      <c r="E2" s="9"/>
      <c r="F2" s="9"/>
      <c r="G2" s="9"/>
      <c r="H2" s="10"/>
    </row>
    <row r="3" spans="1:8">
      <c r="A3" s="876"/>
      <c r="B3" s="11" t="s">
        <v>471</v>
      </c>
      <c r="C3" s="12" t="s">
        <v>1350</v>
      </c>
      <c r="D3" s="13"/>
      <c r="E3" s="14"/>
      <c r="F3" s="14"/>
      <c r="G3" s="14"/>
      <c r="H3" s="15"/>
    </row>
    <row r="4" spans="1:8">
      <c r="A4" s="876"/>
      <c r="B4" s="11" t="s">
        <v>407</v>
      </c>
      <c r="C4" s="856" t="s">
        <v>1351</v>
      </c>
      <c r="D4" s="857"/>
      <c r="E4" s="548" t="s">
        <v>644</v>
      </c>
      <c r="F4" s="529">
        <v>4500000</v>
      </c>
      <c r="G4" s="14"/>
      <c r="H4" s="15"/>
    </row>
    <row r="5" spans="1:8" ht="31.75" customHeight="1">
      <c r="A5" s="827"/>
      <c r="B5" s="16" t="s">
        <v>626</v>
      </c>
      <c r="C5" s="17">
        <v>39459</v>
      </c>
      <c r="D5" s="882" t="s">
        <v>624</v>
      </c>
      <c r="E5" s="859"/>
      <c r="F5" s="250">
        <f>C5*0.3025/C7</f>
        <v>14.556521341463414</v>
      </c>
      <c r="G5" s="858" t="s">
        <v>522</v>
      </c>
      <c r="H5" s="883"/>
    </row>
    <row r="6" spans="1:8">
      <c r="A6" s="827"/>
      <c r="B6" s="16" t="s">
        <v>425</v>
      </c>
      <c r="C6" s="17">
        <v>2</v>
      </c>
      <c r="D6" s="544" t="s">
        <v>627</v>
      </c>
      <c r="E6" s="530"/>
      <c r="F6" s="538" t="s">
        <v>628</v>
      </c>
      <c r="G6" s="884">
        <f>C5-E6</f>
        <v>39459</v>
      </c>
      <c r="H6" s="885"/>
    </row>
    <row r="7" spans="1:8">
      <c r="A7" s="827"/>
      <c r="B7" s="16" t="s">
        <v>121</v>
      </c>
      <c r="C7" s="17">
        <v>820</v>
      </c>
      <c r="D7" s="21" t="s">
        <v>39</v>
      </c>
      <c r="E7" s="251">
        <f>C7/C9</f>
        <v>0.97387173396674587</v>
      </c>
      <c r="F7" s="18"/>
      <c r="G7" s="19"/>
      <c r="H7" s="20"/>
    </row>
    <row r="8" spans="1:8">
      <c r="A8" s="827"/>
      <c r="B8" s="16" t="s">
        <v>54</v>
      </c>
      <c r="C8" s="249">
        <f>C9-C7</f>
        <v>22</v>
      </c>
      <c r="D8" s="21" t="s">
        <v>145</v>
      </c>
      <c r="E8" s="620">
        <f>C8/C9</f>
        <v>2.6128266033254157E-2</v>
      </c>
      <c r="F8" s="863" t="s">
        <v>29</v>
      </c>
      <c r="G8" s="864"/>
      <c r="H8" s="865"/>
    </row>
    <row r="9" spans="1:8">
      <c r="A9" s="827"/>
      <c r="B9" s="16" t="s">
        <v>125</v>
      </c>
      <c r="C9" s="17">
        <v>842</v>
      </c>
      <c r="D9" s="784"/>
      <c r="E9" s="19"/>
      <c r="F9" s="19"/>
      <c r="G9" s="19"/>
      <c r="H9" s="20"/>
    </row>
    <row r="10" spans="1:8">
      <c r="A10" s="827"/>
      <c r="B10" s="16" t="s">
        <v>427</v>
      </c>
      <c r="C10" s="24">
        <v>0.15840000000000001</v>
      </c>
      <c r="D10" s="551" t="s">
        <v>84</v>
      </c>
      <c r="E10" s="545">
        <f>G6*C10</f>
        <v>6250.3056000000006</v>
      </c>
      <c r="F10" s="544" t="s">
        <v>41</v>
      </c>
      <c r="G10" s="541">
        <f>E11/E10</f>
        <v>19.554924242424242</v>
      </c>
      <c r="H10" s="29"/>
    </row>
    <row r="11" spans="1:8">
      <c r="A11" s="827"/>
      <c r="B11" s="16" t="s">
        <v>466</v>
      </c>
      <c r="C11" s="24">
        <v>3.0975000000000001</v>
      </c>
      <c r="D11" s="551" t="s">
        <v>631</v>
      </c>
      <c r="E11" s="546">
        <f>G6*C11</f>
        <v>122224.2525</v>
      </c>
      <c r="F11" s="544" t="s">
        <v>209</v>
      </c>
      <c r="G11" s="541">
        <f>E11*76%</f>
        <v>92890.431899999996</v>
      </c>
      <c r="H11" s="31"/>
    </row>
    <row r="12" spans="1:8" ht="32">
      <c r="A12" s="827"/>
      <c r="B12" s="16" t="s">
        <v>208</v>
      </c>
      <c r="C12" s="706" t="s">
        <v>1367</v>
      </c>
      <c r="D12" s="550" t="s">
        <v>629</v>
      </c>
      <c r="E12" s="529" t="s">
        <v>625</v>
      </c>
      <c r="F12" s="542" t="s">
        <v>234</v>
      </c>
      <c r="G12" s="543">
        <f>G11/C36</f>
        <v>1.6700304178202869</v>
      </c>
      <c r="H12" s="55"/>
    </row>
    <row r="13" spans="1:8">
      <c r="A13" s="827"/>
      <c r="B13" s="16" t="s">
        <v>441</v>
      </c>
      <c r="C13" s="25" t="s">
        <v>1352</v>
      </c>
      <c r="D13" s="544" t="s">
        <v>630</v>
      </c>
      <c r="E13" s="547" t="e">
        <f>C7*E12</f>
        <v>#VALUE!</v>
      </c>
      <c r="F13" s="540" t="s">
        <v>632</v>
      </c>
      <c r="G13" s="541">
        <f>E11*0.3025/F5</f>
        <v>2539.9500000000003</v>
      </c>
      <c r="H13" s="20"/>
    </row>
    <row r="14" spans="1:8">
      <c r="A14" s="827"/>
      <c r="B14" s="32" t="s">
        <v>641</v>
      </c>
      <c r="C14" s="33">
        <v>1</v>
      </c>
      <c r="D14" s="549" t="s">
        <v>633</v>
      </c>
      <c r="E14" s="530" t="s">
        <v>625</v>
      </c>
      <c r="F14" s="538" t="s">
        <v>645</v>
      </c>
      <c r="G14" s="539" t="e">
        <f>E14*G13</f>
        <v>#VALUE!</v>
      </c>
      <c r="H14" s="20"/>
    </row>
    <row r="15" spans="1:8" ht="3.65" customHeight="1" thickBot="1">
      <c r="A15" s="827"/>
      <c r="B15" s="516"/>
      <c r="C15" s="517"/>
      <c r="D15" s="518"/>
      <c r="E15" s="155"/>
      <c r="F15" s="514"/>
      <c r="G15" s="519"/>
      <c r="H15" s="156"/>
    </row>
    <row r="16" spans="1:8" ht="16.5" thickTop="1">
      <c r="A16" s="877"/>
      <c r="B16" s="520" t="s">
        <v>635</v>
      </c>
      <c r="C16" s="521" t="e">
        <f>E16+G16</f>
        <v>#VALUE!</v>
      </c>
      <c r="D16" s="522" t="s">
        <v>643</v>
      </c>
      <c r="E16" s="523" t="e">
        <f>G14*F4</f>
        <v>#VALUE!</v>
      </c>
      <c r="F16" s="524" t="s">
        <v>634</v>
      </c>
      <c r="G16" s="523" t="e">
        <f>E16*30%</f>
        <v>#VALUE!</v>
      </c>
      <c r="H16" s="525"/>
    </row>
    <row r="17" spans="1:8">
      <c r="A17" s="877"/>
      <c r="B17" s="526" t="s">
        <v>638</v>
      </c>
      <c r="C17" s="527" t="e">
        <f>(E17*C7)+(G17*C8)</f>
        <v>#VALUE!</v>
      </c>
      <c r="D17" s="528" t="s">
        <v>636</v>
      </c>
      <c r="E17" s="529" t="s">
        <v>625</v>
      </c>
      <c r="F17" s="530" t="s">
        <v>637</v>
      </c>
      <c r="G17" s="529" t="s">
        <v>625</v>
      </c>
      <c r="H17" s="531"/>
    </row>
    <row r="18" spans="1:8" ht="32.5" thickBot="1">
      <c r="A18" s="877"/>
      <c r="B18" s="532" t="s">
        <v>642</v>
      </c>
      <c r="C18" s="533" t="e">
        <f>E18/E13</f>
        <v>#VALUE!</v>
      </c>
      <c r="D18" s="534" t="s">
        <v>639</v>
      </c>
      <c r="E18" s="535" t="e">
        <f>C17-C16</f>
        <v>#VALUE!</v>
      </c>
      <c r="F18" s="536" t="s">
        <v>640</v>
      </c>
      <c r="G18" s="535" t="e">
        <f>E18/C7</f>
        <v>#VALUE!</v>
      </c>
      <c r="H18" s="537"/>
    </row>
    <row r="19" spans="1:8" ht="5.25" customHeight="1" thickTop="1" thickBot="1">
      <c r="A19" s="39"/>
      <c r="B19" s="515"/>
      <c r="C19" s="41"/>
      <c r="D19" s="41"/>
      <c r="H19" s="42"/>
    </row>
    <row r="20" spans="1:8">
      <c r="A20" s="875" t="s">
        <v>49</v>
      </c>
      <c r="B20" s="43" t="s">
        <v>81</v>
      </c>
      <c r="C20" s="44" t="s">
        <v>1353</v>
      </c>
      <c r="D20" s="45"/>
      <c r="E20" s="9"/>
      <c r="F20" s="9"/>
      <c r="G20" s="9"/>
      <c r="H20" s="10"/>
    </row>
    <row r="21" spans="1:8">
      <c r="A21" s="827"/>
      <c r="B21" s="25" t="s">
        <v>147</v>
      </c>
      <c r="C21" s="46" t="s">
        <v>1354</v>
      </c>
      <c r="D21" s="47"/>
      <c r="E21" s="19"/>
      <c r="F21" s="19"/>
      <c r="G21" s="19"/>
      <c r="H21" s="20"/>
    </row>
    <row r="22" spans="1:8">
      <c r="A22" s="827"/>
      <c r="B22" s="25" t="s">
        <v>98</v>
      </c>
      <c r="C22" s="46" t="s">
        <v>1355</v>
      </c>
      <c r="D22" s="47"/>
      <c r="E22" s="19"/>
      <c r="F22" s="19"/>
      <c r="G22" s="19"/>
      <c r="H22" s="20"/>
    </row>
    <row r="23" spans="1:8">
      <c r="A23" s="827"/>
      <c r="B23" s="25" t="s">
        <v>73</v>
      </c>
      <c r="C23" s="25" t="s">
        <v>1357</v>
      </c>
      <c r="D23" s="23"/>
      <c r="E23" s="19"/>
      <c r="F23" s="19"/>
      <c r="G23" s="19"/>
      <c r="H23" s="20"/>
    </row>
    <row r="24" spans="1:8">
      <c r="A24" s="827"/>
      <c r="B24" s="25" t="s">
        <v>452</v>
      </c>
      <c r="C24" s="25" t="s">
        <v>1356</v>
      </c>
      <c r="D24" s="23"/>
      <c r="E24" s="19"/>
      <c r="F24" s="19"/>
      <c r="G24" s="19"/>
      <c r="H24" s="20"/>
    </row>
    <row r="25" spans="1:8">
      <c r="A25" s="827"/>
      <c r="B25" s="25" t="s">
        <v>445</v>
      </c>
      <c r="C25" s="25" t="s">
        <v>1358</v>
      </c>
      <c r="D25" s="23"/>
      <c r="E25" s="19"/>
      <c r="F25" s="19"/>
      <c r="G25" s="19"/>
      <c r="H25" s="20"/>
    </row>
    <row r="26" spans="1:8">
      <c r="A26" s="827"/>
      <c r="B26" s="25" t="s">
        <v>167</v>
      </c>
      <c r="C26" s="25" t="s">
        <v>1359</v>
      </c>
      <c r="D26" s="23"/>
      <c r="E26" s="19"/>
      <c r="F26" s="19"/>
      <c r="G26" s="19"/>
      <c r="H26" s="20"/>
    </row>
    <row r="27" spans="1:8" ht="16.5" thickBot="1">
      <c r="A27" s="828"/>
      <c r="B27" s="783" t="s">
        <v>447</v>
      </c>
      <c r="C27" s="783" t="s">
        <v>1360</v>
      </c>
      <c r="D27" s="48"/>
      <c r="E27" s="37"/>
      <c r="F27" s="37"/>
      <c r="G27" s="37"/>
      <c r="H27" s="38"/>
    </row>
    <row r="28" spans="1:8" ht="5.25" customHeight="1" thickBot="1">
      <c r="A28" s="39"/>
      <c r="B28" s="40"/>
      <c r="H28" s="42"/>
    </row>
    <row r="29" spans="1:8" s="5" customFormat="1">
      <c r="A29" s="875" t="s">
        <v>160</v>
      </c>
      <c r="B29" s="241" t="s">
        <v>101</v>
      </c>
      <c r="C29" s="242" t="s">
        <v>48</v>
      </c>
      <c r="D29" s="243" t="s">
        <v>125</v>
      </c>
      <c r="E29" s="243" t="s">
        <v>526</v>
      </c>
      <c r="F29" s="243" t="s">
        <v>527</v>
      </c>
      <c r="G29" s="243" t="s">
        <v>528</v>
      </c>
      <c r="H29" s="244" t="s">
        <v>454</v>
      </c>
    </row>
    <row r="30" spans="1:8">
      <c r="A30" s="827"/>
      <c r="B30" s="790" t="s">
        <v>1362</v>
      </c>
      <c r="C30" s="53">
        <f>36*D30</f>
        <v>1512</v>
      </c>
      <c r="D30" s="17">
        <v>42</v>
      </c>
      <c r="E30" s="54"/>
      <c r="F30" s="54"/>
      <c r="G30" s="54"/>
      <c r="H30" s="55">
        <f t="shared" ref="H30:H35" si="0">D30/$D$36</f>
        <v>4.9881235154394299E-2</v>
      </c>
    </row>
    <row r="31" spans="1:8">
      <c r="A31" s="827"/>
      <c r="B31" s="790" t="s">
        <v>1363</v>
      </c>
      <c r="C31" s="53">
        <f>45*D31</f>
        <v>3690</v>
      </c>
      <c r="D31" s="17">
        <v>82</v>
      </c>
      <c r="E31" s="54"/>
      <c r="F31" s="160">
        <f>D31-E31</f>
        <v>82</v>
      </c>
      <c r="G31" s="54"/>
      <c r="H31" s="55">
        <f t="shared" si="0"/>
        <v>9.7387173396674589E-2</v>
      </c>
    </row>
    <row r="32" spans="1:8">
      <c r="A32" s="827"/>
      <c r="B32" s="790" t="s">
        <v>1364</v>
      </c>
      <c r="C32" s="53">
        <f>59*D32</f>
        <v>20296</v>
      </c>
      <c r="D32" s="17">
        <v>344</v>
      </c>
      <c r="E32" s="54"/>
      <c r="F32" s="160">
        <f>D32-E32</f>
        <v>344</v>
      </c>
      <c r="G32" s="54"/>
      <c r="H32" s="55">
        <f t="shared" si="0"/>
        <v>0.40855106888361042</v>
      </c>
    </row>
    <row r="33" spans="1:9">
      <c r="A33" s="827"/>
      <c r="B33" s="790" t="s">
        <v>1365</v>
      </c>
      <c r="C33" s="53">
        <f>65*D33</f>
        <v>6240</v>
      </c>
      <c r="D33" s="17">
        <v>96</v>
      </c>
      <c r="E33" s="54"/>
      <c r="F33" s="160">
        <f t="shared" ref="F33:F35" si="1">D33-E33</f>
        <v>96</v>
      </c>
      <c r="G33" s="54"/>
      <c r="H33" s="55">
        <f t="shared" si="0"/>
        <v>0.11401425178147269</v>
      </c>
    </row>
    <row r="34" spans="1:9">
      <c r="A34" s="827"/>
      <c r="B34" s="790" t="s">
        <v>1366</v>
      </c>
      <c r="C34" s="53">
        <f>84*D34</f>
        <v>20160</v>
      </c>
      <c r="D34" s="17">
        <v>240</v>
      </c>
      <c r="E34" s="54"/>
      <c r="F34" s="160">
        <f t="shared" si="1"/>
        <v>240</v>
      </c>
      <c r="G34" s="54"/>
      <c r="H34" s="55">
        <f t="shared" si="0"/>
        <v>0.28503562945368172</v>
      </c>
    </row>
    <row r="35" spans="1:9">
      <c r="A35" s="827"/>
      <c r="B35" s="790" t="s">
        <v>1361</v>
      </c>
      <c r="C35" s="53">
        <f>98*D35</f>
        <v>3724</v>
      </c>
      <c r="D35" s="17">
        <v>38</v>
      </c>
      <c r="E35" s="54"/>
      <c r="F35" s="160">
        <f t="shared" si="1"/>
        <v>38</v>
      </c>
      <c r="G35" s="54"/>
      <c r="H35" s="55">
        <f t="shared" si="0"/>
        <v>4.5130641330166268E-2</v>
      </c>
    </row>
    <row r="36" spans="1:9" ht="16.5" thickBot="1">
      <c r="A36" s="828"/>
      <c r="B36" s="791" t="s">
        <v>462</v>
      </c>
      <c r="C36" s="57">
        <f t="shared" ref="C36:H36" si="2">SUM(C30:C35)</f>
        <v>55622</v>
      </c>
      <c r="D36" s="58">
        <f t="shared" si="2"/>
        <v>842</v>
      </c>
      <c r="E36" s="59">
        <f t="shared" si="2"/>
        <v>0</v>
      </c>
      <c r="F36" s="59">
        <f t="shared" si="2"/>
        <v>800</v>
      </c>
      <c r="G36" s="59">
        <f t="shared" si="2"/>
        <v>0</v>
      </c>
      <c r="H36" s="60">
        <f t="shared" si="2"/>
        <v>1</v>
      </c>
    </row>
    <row r="37" spans="1:9" ht="4.5" customHeight="1" thickBot="1">
      <c r="A37" s="39"/>
      <c r="B37" s="40"/>
      <c r="H37" s="42"/>
    </row>
    <row r="38" spans="1:9" s="2" customFormat="1">
      <c r="A38" s="962" t="s">
        <v>393</v>
      </c>
      <c r="B38" s="241" t="s">
        <v>101</v>
      </c>
      <c r="C38" s="243" t="s">
        <v>839</v>
      </c>
      <c r="D38" s="243" t="s">
        <v>840</v>
      </c>
      <c r="E38" s="243" t="s">
        <v>43</v>
      </c>
      <c r="F38" s="243" t="s">
        <v>903</v>
      </c>
      <c r="G38" s="786" t="s">
        <v>46</v>
      </c>
      <c r="H38" s="246" t="s">
        <v>470</v>
      </c>
    </row>
    <row r="39" spans="1:9" ht="16.5" customHeight="1">
      <c r="A39" s="963"/>
      <c r="B39" s="790" t="s">
        <v>1362</v>
      </c>
      <c r="C39" s="62"/>
      <c r="D39" s="63"/>
      <c r="E39" s="252"/>
      <c r="F39" s="63"/>
      <c r="G39" s="252"/>
      <c r="H39" s="31"/>
    </row>
    <row r="40" spans="1:9" ht="16.5" customHeight="1">
      <c r="A40" s="963"/>
      <c r="B40" s="790" t="s">
        <v>1363</v>
      </c>
      <c r="C40" s="62"/>
      <c r="D40" s="63"/>
      <c r="E40" s="252"/>
      <c r="F40" s="63"/>
      <c r="G40" s="252"/>
      <c r="H40" s="31"/>
    </row>
    <row r="41" spans="1:9" ht="16.5" customHeight="1">
      <c r="A41" s="963"/>
      <c r="B41" s="790" t="s">
        <v>1364</v>
      </c>
      <c r="C41" s="724"/>
      <c r="D41" s="63"/>
      <c r="E41" s="252"/>
      <c r="F41" s="723"/>
      <c r="G41" s="252"/>
      <c r="H41" s="31"/>
    </row>
    <row r="42" spans="1:9" ht="16.5" customHeight="1">
      <c r="A42" s="963"/>
      <c r="B42" s="790" t="s">
        <v>1365</v>
      </c>
      <c r="C42" s="724"/>
      <c r="D42" s="63"/>
      <c r="E42" s="252"/>
      <c r="F42" s="723"/>
      <c r="G42" s="252"/>
      <c r="H42" s="31"/>
    </row>
    <row r="43" spans="1:9" ht="16.5" customHeight="1">
      <c r="A43" s="963"/>
      <c r="B43" s="790" t="s">
        <v>1366</v>
      </c>
      <c r="C43" s="724">
        <f>F43*70%</f>
        <v>19103000</v>
      </c>
      <c r="D43" s="63">
        <f>F43-2000000</f>
        <v>25290000</v>
      </c>
      <c r="E43" s="252">
        <f>(D43-C43)*34</f>
        <v>210358000</v>
      </c>
      <c r="F43" s="723">
        <v>27290000</v>
      </c>
      <c r="G43" s="252">
        <f>(F43-C43)*34</f>
        <v>278358000</v>
      </c>
      <c r="H43" s="31" t="s">
        <v>1193</v>
      </c>
    </row>
    <row r="44" spans="1:9" ht="16.5" customHeight="1" thickBot="1">
      <c r="A44" s="964"/>
      <c r="B44" s="791" t="s">
        <v>1361</v>
      </c>
      <c r="C44" s="64"/>
      <c r="D44" s="65"/>
      <c r="E44" s="366"/>
      <c r="F44" s="65"/>
      <c r="G44" s="366"/>
      <c r="H44" s="66"/>
    </row>
    <row r="45" spans="1:9" ht="5.25" customHeight="1" thickBot="1">
      <c r="A45" s="67"/>
      <c r="C45" s="68"/>
      <c r="D45" s="69"/>
      <c r="E45" s="69"/>
      <c r="F45" s="69"/>
      <c r="G45" s="69"/>
    </row>
    <row r="46" spans="1:9" ht="56" customHeight="1">
      <c r="A46" s="833" t="s">
        <v>257</v>
      </c>
      <c r="B46" s="243" t="s">
        <v>101</v>
      </c>
      <c r="C46" s="508" t="s">
        <v>1395</v>
      </c>
      <c r="D46" s="247" t="s">
        <v>247</v>
      </c>
      <c r="E46" s="247" t="s">
        <v>322</v>
      </c>
      <c r="F46" s="247" t="s">
        <v>222</v>
      </c>
      <c r="G46" s="247" t="s">
        <v>367</v>
      </c>
      <c r="H46" s="243" t="s">
        <v>1135</v>
      </c>
      <c r="I46" s="824" t="s">
        <v>1205</v>
      </c>
    </row>
    <row r="47" spans="1:9" ht="15" customHeight="1">
      <c r="A47" s="878"/>
      <c r="B47" s="790" t="s">
        <v>1362</v>
      </c>
      <c r="C47" s="71" t="s">
        <v>436</v>
      </c>
      <c r="D47" s="62">
        <f>E39</f>
        <v>0</v>
      </c>
      <c r="E47" s="253" t="e">
        <f t="shared" ref="E47:E52" si="3">D47-C47</f>
        <v>#VALUE!</v>
      </c>
      <c r="F47" s="62">
        <f t="shared" ref="F47:F52" si="4">G39</f>
        <v>0</v>
      </c>
      <c r="G47" s="253" t="e">
        <f t="shared" ref="G47:G52" si="5">F47-C47</f>
        <v>#VALUE!</v>
      </c>
      <c r="H47" s="62"/>
      <c r="I47" s="825"/>
    </row>
    <row r="48" spans="1:9">
      <c r="A48" s="834"/>
      <c r="B48" s="790" t="s">
        <v>1363</v>
      </c>
      <c r="C48" s="71" t="s">
        <v>625</v>
      </c>
      <c r="D48" s="62">
        <f>E40</f>
        <v>0</v>
      </c>
      <c r="E48" s="253" t="e">
        <f t="shared" si="3"/>
        <v>#VALUE!</v>
      </c>
      <c r="F48" s="62">
        <f t="shared" si="4"/>
        <v>0</v>
      </c>
      <c r="G48" s="253" t="e">
        <f t="shared" si="5"/>
        <v>#VALUE!</v>
      </c>
      <c r="H48" s="62"/>
      <c r="I48" s="825"/>
    </row>
    <row r="49" spans="1:9" ht="17">
      <c r="A49" s="834"/>
      <c r="B49" s="790" t="s">
        <v>1364</v>
      </c>
      <c r="C49" s="71"/>
      <c r="D49" s="62">
        <f>E41</f>
        <v>0</v>
      </c>
      <c r="E49" s="253">
        <f t="shared" si="3"/>
        <v>0</v>
      </c>
      <c r="F49" s="62">
        <f t="shared" si="4"/>
        <v>0</v>
      </c>
      <c r="G49" s="253">
        <f t="shared" si="5"/>
        <v>0</v>
      </c>
      <c r="H49" s="62"/>
      <c r="I49" s="751">
        <f>H51/F43</f>
        <v>1.1310995193240359</v>
      </c>
    </row>
    <row r="50" spans="1:9" ht="17">
      <c r="A50" s="834"/>
      <c r="B50" s="790" t="s">
        <v>1365</v>
      </c>
      <c r="C50" s="71"/>
      <c r="D50" s="62"/>
      <c r="E50" s="253">
        <f t="shared" si="3"/>
        <v>0</v>
      </c>
      <c r="F50" s="62">
        <f t="shared" si="4"/>
        <v>0</v>
      </c>
      <c r="G50" s="253"/>
      <c r="H50" s="62"/>
      <c r="I50" s="759"/>
    </row>
    <row r="51" spans="1:9">
      <c r="A51" s="834"/>
      <c r="B51" s="790" t="s">
        <v>1366</v>
      </c>
      <c r="C51" s="71">
        <v>400000000</v>
      </c>
      <c r="D51" s="62">
        <f>E43</f>
        <v>210358000</v>
      </c>
      <c r="E51" s="253">
        <f t="shared" si="3"/>
        <v>-189642000</v>
      </c>
      <c r="F51" s="62">
        <f t="shared" si="4"/>
        <v>278358000</v>
      </c>
      <c r="G51" s="253">
        <f t="shared" si="5"/>
        <v>-121642000</v>
      </c>
      <c r="H51" s="62">
        <f>(C51+(C43*34))/34</f>
        <v>30867705.882352941</v>
      </c>
      <c r="I51" s="31"/>
    </row>
    <row r="52" spans="1:9" ht="16.5" thickBot="1">
      <c r="A52" s="836"/>
      <c r="B52" s="791" t="s">
        <v>1361</v>
      </c>
      <c r="C52" s="71"/>
      <c r="D52" s="64">
        <f>E44</f>
        <v>0</v>
      </c>
      <c r="E52" s="255">
        <f t="shared" si="3"/>
        <v>0</v>
      </c>
      <c r="F52" s="64">
        <f t="shared" si="4"/>
        <v>0</v>
      </c>
      <c r="G52" s="255">
        <f t="shared" si="5"/>
        <v>0</v>
      </c>
      <c r="H52" s="64"/>
      <c r="I52" s="66"/>
    </row>
    <row r="53" spans="1:9" ht="5" customHeight="1" thickBot="1"/>
    <row r="54" spans="1:9">
      <c r="A54" s="833" t="s">
        <v>598</v>
      </c>
      <c r="B54" s="243" t="s">
        <v>599</v>
      </c>
      <c r="C54" s="242" t="s">
        <v>895</v>
      </c>
      <c r="D54" s="815" t="s">
        <v>600</v>
      </c>
      <c r="E54" s="816"/>
      <c r="F54" s="816"/>
      <c r="G54" s="816"/>
      <c r="H54" s="817"/>
    </row>
    <row r="55" spans="1:9">
      <c r="A55" s="834"/>
      <c r="B55" s="165" t="s">
        <v>613</v>
      </c>
      <c r="C55" s="626">
        <v>1700</v>
      </c>
      <c r="D55" s="492"/>
      <c r="H55" s="42"/>
    </row>
    <row r="56" spans="1:9">
      <c r="A56" s="835"/>
      <c r="B56" s="165" t="s">
        <v>601</v>
      </c>
      <c r="C56" s="627">
        <v>1710</v>
      </c>
      <c r="D56" s="492"/>
      <c r="H56" s="42"/>
    </row>
    <row r="57" spans="1:9">
      <c r="A57" s="835"/>
      <c r="B57" s="165" t="s">
        <v>602</v>
      </c>
      <c r="C57" s="627">
        <v>2200</v>
      </c>
      <c r="D57" s="492"/>
      <c r="H57" s="42"/>
    </row>
    <row r="58" spans="1:9">
      <c r="A58" s="835"/>
      <c r="B58" s="165" t="s">
        <v>1368</v>
      </c>
      <c r="C58" s="627">
        <v>2300</v>
      </c>
      <c r="D58" s="492"/>
      <c r="H58" s="42"/>
    </row>
    <row r="59" spans="1:9">
      <c r="A59" s="835"/>
      <c r="B59" s="165" t="s">
        <v>604</v>
      </c>
      <c r="C59" s="627">
        <v>3322</v>
      </c>
      <c r="D59" s="492"/>
      <c r="H59" s="42"/>
    </row>
    <row r="60" spans="1:9">
      <c r="A60" s="835"/>
      <c r="B60" s="165" t="s">
        <v>605</v>
      </c>
      <c r="C60" s="627">
        <f>H51/10000</f>
        <v>3086.7705882352939</v>
      </c>
      <c r="D60" s="492"/>
      <c r="H60" s="42"/>
    </row>
    <row r="61" spans="1:9">
      <c r="A61" s="835"/>
      <c r="B61" s="165" t="s">
        <v>606</v>
      </c>
      <c r="C61" s="627"/>
      <c r="D61" s="492"/>
      <c r="H61" s="42"/>
    </row>
    <row r="62" spans="1:9">
      <c r="A62" s="835"/>
      <c r="B62" s="165" t="s">
        <v>607</v>
      </c>
      <c r="C62" s="627"/>
      <c r="D62" s="492"/>
      <c r="H62" s="42"/>
    </row>
    <row r="63" spans="1:9">
      <c r="A63" s="835"/>
      <c r="B63" s="165" t="s">
        <v>608</v>
      </c>
      <c r="C63" s="627"/>
      <c r="D63" s="492"/>
      <c r="H63" s="42"/>
    </row>
    <row r="64" spans="1:9">
      <c r="A64" s="835"/>
      <c r="B64" s="165" t="s">
        <v>1171</v>
      </c>
      <c r="C64" s="627"/>
      <c r="D64" s="492"/>
      <c r="H64" s="42"/>
    </row>
    <row r="65" spans="1:8" ht="17.5" thickBot="1">
      <c r="A65" s="836"/>
      <c r="B65" s="490" t="s">
        <v>614</v>
      </c>
      <c r="C65" s="628"/>
      <c r="D65" s="493"/>
      <c r="E65" s="486"/>
      <c r="F65" s="486"/>
      <c r="G65" s="486"/>
      <c r="H65" s="487"/>
    </row>
    <row r="66" spans="1:8">
      <c r="A66" s="826" t="s">
        <v>650</v>
      </c>
      <c r="B66" s="785" t="s">
        <v>860</v>
      </c>
      <c r="C66" s="565"/>
      <c r="D66" s="566"/>
      <c r="E66" s="559"/>
      <c r="F66" s="559"/>
      <c r="G66" s="559"/>
      <c r="H66" s="567"/>
    </row>
    <row r="67" spans="1:8">
      <c r="A67" s="827"/>
      <c r="B67" s="206" t="s">
        <v>1370</v>
      </c>
      <c r="C67" s="78"/>
      <c r="D67" s="79"/>
      <c r="E67" s="76"/>
      <c r="F67" s="76"/>
      <c r="G67" s="76"/>
      <c r="H67" s="114"/>
    </row>
    <row r="68" spans="1:8">
      <c r="A68" s="827"/>
      <c r="B68" s="206" t="s">
        <v>1369</v>
      </c>
      <c r="C68" s="78"/>
      <c r="D68" s="79"/>
      <c r="E68" s="76"/>
      <c r="F68" s="76"/>
      <c r="G68" s="76"/>
      <c r="H68" s="114"/>
    </row>
    <row r="69" spans="1:8">
      <c r="A69" s="827"/>
      <c r="B69" s="206" t="s">
        <v>863</v>
      </c>
      <c r="C69" s="78"/>
      <c r="D69" s="79"/>
      <c r="E69" s="76"/>
      <c r="F69" s="76"/>
      <c r="G69" s="76"/>
      <c r="H69" s="114"/>
    </row>
    <row r="70" spans="1:8">
      <c r="A70" s="827"/>
      <c r="B70" s="206" t="s">
        <v>864</v>
      </c>
      <c r="C70" s="78"/>
      <c r="D70" s="79"/>
      <c r="E70" s="76"/>
      <c r="F70" s="76"/>
      <c r="G70" s="76"/>
      <c r="H70" s="114"/>
    </row>
    <row r="71" spans="1:8" ht="16.5" thickBot="1">
      <c r="A71" s="828"/>
      <c r="B71" s="568" t="s">
        <v>865</v>
      </c>
      <c r="C71" s="569"/>
      <c r="D71" s="570"/>
      <c r="E71" s="571"/>
      <c r="F71" s="571"/>
      <c r="G71" s="571"/>
      <c r="H71" s="572"/>
    </row>
  </sheetData>
  <mergeCells count="15">
    <mergeCell ref="A66:A71"/>
    <mergeCell ref="A20:A27"/>
    <mergeCell ref="A29:A36"/>
    <mergeCell ref="A38:A44"/>
    <mergeCell ref="A46:A52"/>
    <mergeCell ref="I46:I48"/>
    <mergeCell ref="A54:A65"/>
    <mergeCell ref="D54:H54"/>
    <mergeCell ref="A1:H1"/>
    <mergeCell ref="A2:A18"/>
    <mergeCell ref="C4:D4"/>
    <mergeCell ref="D5:E5"/>
    <mergeCell ref="G5:H5"/>
    <mergeCell ref="G6:H6"/>
    <mergeCell ref="F8:H8"/>
  </mergeCells>
  <phoneticPr fontId="16" type="noConversion"/>
  <pageMargins left="0.69972223043441772" right="0.69972223043441772" top="0.75" bottom="0.75" header="0.30000001192092896" footer="0.30000001192092896"/>
  <pageSetup paperSize="9" scale="86" orientation="portrait" horizontalDpi="4294967293" verticalDpi="4294967293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75"/>
  <sheetViews>
    <sheetView showGridLines="0" topLeftCell="A49" zoomScale="70" zoomScaleNormal="70" zoomScaleSheetLayoutView="70" workbookViewId="0">
      <selection activeCell="C51" sqref="C51"/>
    </sheetView>
  </sheetViews>
  <sheetFormatPr defaultColWidth="13.4140625" defaultRowHeight="16"/>
  <cols>
    <col min="1" max="1" width="4.9140625" style="1" customWidth="1"/>
    <col min="2" max="2" width="17.5" style="2" bestFit="1" customWidth="1"/>
    <col min="3" max="3" width="26.4140625" style="3" customWidth="1"/>
    <col min="4" max="4" width="19.6640625" style="4" customWidth="1"/>
    <col min="5" max="5" width="21.6640625" style="1" bestFit="1" customWidth="1"/>
    <col min="6" max="6" width="18.6640625" style="1" customWidth="1"/>
    <col min="7" max="7" width="18.08203125" style="1" bestFit="1" customWidth="1"/>
    <col min="8" max="8" width="15.33203125" style="1" bestFit="1" customWidth="1"/>
    <col min="9" max="9" width="27.25" style="1" bestFit="1" customWidth="1"/>
    <col min="10" max="16384" width="13.4140625" style="1"/>
  </cols>
  <sheetData>
    <row r="1" spans="1:8" ht="31.5" customHeight="1" thickBot="1">
      <c r="A1" s="872" t="s">
        <v>949</v>
      </c>
      <c r="B1" s="873"/>
      <c r="C1" s="873"/>
      <c r="D1" s="873"/>
      <c r="E1" s="873"/>
      <c r="F1" s="873"/>
      <c r="G1" s="873"/>
      <c r="H1" s="874"/>
    </row>
    <row r="2" spans="1:8">
      <c r="A2" s="875" t="s">
        <v>112</v>
      </c>
      <c r="B2" s="6" t="s">
        <v>420</v>
      </c>
      <c r="C2" s="7" t="s">
        <v>625</v>
      </c>
      <c r="D2" s="8"/>
      <c r="E2" s="9"/>
      <c r="F2" s="9"/>
      <c r="G2" s="9"/>
      <c r="H2" s="10"/>
    </row>
    <row r="3" spans="1:8">
      <c r="A3" s="876"/>
      <c r="B3" s="11" t="s">
        <v>471</v>
      </c>
      <c r="C3" s="12" t="s">
        <v>950</v>
      </c>
      <c r="D3" s="13"/>
      <c r="E3" s="14"/>
      <c r="F3" s="14"/>
      <c r="G3" s="14"/>
      <c r="H3" s="15"/>
    </row>
    <row r="4" spans="1:8">
      <c r="A4" s="876"/>
      <c r="B4" s="11" t="s">
        <v>407</v>
      </c>
      <c r="C4" s="856" t="s">
        <v>951</v>
      </c>
      <c r="D4" s="857"/>
      <c r="E4" s="548" t="s">
        <v>644</v>
      </c>
      <c r="F4" s="529">
        <v>4500000</v>
      </c>
      <c r="G4" s="14"/>
      <c r="H4" s="15"/>
    </row>
    <row r="5" spans="1:8" ht="31.75" customHeight="1">
      <c r="A5" s="827"/>
      <c r="B5" s="16" t="s">
        <v>626</v>
      </c>
      <c r="C5" s="17">
        <v>76022</v>
      </c>
      <c r="D5" s="882" t="s">
        <v>624</v>
      </c>
      <c r="E5" s="859"/>
      <c r="F5" s="621" t="e">
        <f>C5*0.3025/C7</f>
        <v>#DIV/0!</v>
      </c>
      <c r="G5" s="858" t="s">
        <v>522</v>
      </c>
      <c r="H5" s="883"/>
    </row>
    <row r="6" spans="1:8">
      <c r="A6" s="827"/>
      <c r="B6" s="16" t="s">
        <v>425</v>
      </c>
      <c r="C6" s="17">
        <v>18</v>
      </c>
      <c r="D6" s="544" t="s">
        <v>627</v>
      </c>
      <c r="E6" s="530"/>
      <c r="F6" s="538" t="s">
        <v>628</v>
      </c>
      <c r="G6" s="884">
        <f>C5-E6</f>
        <v>76022</v>
      </c>
      <c r="H6" s="885"/>
    </row>
    <row r="7" spans="1:8">
      <c r="A7" s="827"/>
      <c r="B7" s="16" t="s">
        <v>121</v>
      </c>
      <c r="C7" s="17"/>
      <c r="D7" s="21" t="s">
        <v>39</v>
      </c>
      <c r="E7" s="251">
        <f>C7/C9</f>
        <v>0</v>
      </c>
      <c r="F7" s="18"/>
      <c r="G7" s="19"/>
      <c r="H7" s="20"/>
    </row>
    <row r="8" spans="1:8">
      <c r="A8" s="827"/>
      <c r="B8" s="16" t="s">
        <v>54</v>
      </c>
      <c r="C8" s="249">
        <f>C9-C7</f>
        <v>2001</v>
      </c>
      <c r="D8" s="21" t="s">
        <v>145</v>
      </c>
      <c r="E8" s="620">
        <f>C8/C9</f>
        <v>1</v>
      </c>
      <c r="F8" s="863" t="s">
        <v>29</v>
      </c>
      <c r="G8" s="864"/>
      <c r="H8" s="865"/>
    </row>
    <row r="9" spans="1:8">
      <c r="A9" s="827"/>
      <c r="B9" s="16" t="s">
        <v>125</v>
      </c>
      <c r="C9" s="17">
        <v>2001</v>
      </c>
      <c r="D9" s="664" t="s">
        <v>813</v>
      </c>
      <c r="E9" s="19"/>
      <c r="F9" s="19"/>
      <c r="G9" s="19"/>
      <c r="H9" s="20"/>
    </row>
    <row r="10" spans="1:8">
      <c r="A10" s="827"/>
      <c r="B10" s="16" t="s">
        <v>427</v>
      </c>
      <c r="C10" s="24">
        <v>0.17100000000000001</v>
      </c>
      <c r="D10" s="551" t="s">
        <v>84</v>
      </c>
      <c r="E10" s="545">
        <f>G6*C10</f>
        <v>12999.762000000001</v>
      </c>
      <c r="F10" s="544" t="s">
        <v>41</v>
      </c>
      <c r="G10" s="541">
        <f>E11/E10</f>
        <v>15.469005847953214</v>
      </c>
      <c r="H10" s="29"/>
    </row>
    <row r="11" spans="1:8">
      <c r="A11" s="827"/>
      <c r="B11" s="16" t="s">
        <v>466</v>
      </c>
      <c r="C11" s="24">
        <v>2.6452</v>
      </c>
      <c r="D11" s="551" t="s">
        <v>631</v>
      </c>
      <c r="E11" s="546">
        <f>G6*C11</f>
        <v>201093.39439999999</v>
      </c>
      <c r="F11" s="544" t="s">
        <v>209</v>
      </c>
      <c r="G11" s="541">
        <f>E11*76%</f>
        <v>152830.97974399998</v>
      </c>
      <c r="H11" s="31"/>
    </row>
    <row r="12" spans="1:8" ht="32">
      <c r="A12" s="827"/>
      <c r="B12" s="16" t="s">
        <v>208</v>
      </c>
      <c r="C12" s="588" t="s">
        <v>952</v>
      </c>
      <c r="D12" s="550" t="s">
        <v>629</v>
      </c>
      <c r="E12" s="529" t="s">
        <v>625</v>
      </c>
      <c r="F12" s="542" t="s">
        <v>234</v>
      </c>
      <c r="G12" s="543" t="e">
        <f>G11/C37</f>
        <v>#DIV/0!</v>
      </c>
      <c r="H12" s="55"/>
    </row>
    <row r="13" spans="1:8">
      <c r="A13" s="827"/>
      <c r="B13" s="16" t="s">
        <v>441</v>
      </c>
      <c r="C13" s="25" t="s">
        <v>953</v>
      </c>
      <c r="D13" s="544" t="s">
        <v>630</v>
      </c>
      <c r="E13" s="547" t="e">
        <f>C7*E12</f>
        <v>#VALUE!</v>
      </c>
      <c r="F13" s="540" t="s">
        <v>632</v>
      </c>
      <c r="G13" s="541" t="e">
        <f>E11*0.3025/F5</f>
        <v>#DIV/0!</v>
      </c>
      <c r="H13" s="20"/>
    </row>
    <row r="14" spans="1:8">
      <c r="A14" s="827"/>
      <c r="B14" s="32" t="s">
        <v>641</v>
      </c>
      <c r="C14" s="33">
        <v>1</v>
      </c>
      <c r="D14" s="549" t="s">
        <v>633</v>
      </c>
      <c r="E14" s="530" t="s">
        <v>625</v>
      </c>
      <c r="F14" s="538" t="s">
        <v>645</v>
      </c>
      <c r="G14" s="539" t="e">
        <f>E14*G13</f>
        <v>#VALUE!</v>
      </c>
      <c r="H14" s="20"/>
    </row>
    <row r="15" spans="1:8" ht="3.65" customHeight="1" thickBot="1">
      <c r="A15" s="827"/>
      <c r="B15" s="516"/>
      <c r="C15" s="517"/>
      <c r="D15" s="518"/>
      <c r="E15" s="155"/>
      <c r="F15" s="514"/>
      <c r="G15" s="519"/>
      <c r="H15" s="156"/>
    </row>
    <row r="16" spans="1:8" ht="16.5" thickTop="1">
      <c r="A16" s="877"/>
      <c r="B16" s="520" t="s">
        <v>635</v>
      </c>
      <c r="C16" s="521" t="e">
        <f>E16+G16</f>
        <v>#VALUE!</v>
      </c>
      <c r="D16" s="522" t="s">
        <v>643</v>
      </c>
      <c r="E16" s="523" t="e">
        <f>G14*F4</f>
        <v>#VALUE!</v>
      </c>
      <c r="F16" s="524" t="s">
        <v>634</v>
      </c>
      <c r="G16" s="523" t="e">
        <f>E16*30%</f>
        <v>#VALUE!</v>
      </c>
      <c r="H16" s="525"/>
    </row>
    <row r="17" spans="1:8">
      <c r="A17" s="877"/>
      <c r="B17" s="526" t="s">
        <v>638</v>
      </c>
      <c r="C17" s="527" t="e">
        <f>(E17*C7)+(G17*C8)</f>
        <v>#VALUE!</v>
      </c>
      <c r="D17" s="528" t="s">
        <v>636</v>
      </c>
      <c r="E17" s="529" t="s">
        <v>625</v>
      </c>
      <c r="F17" s="530" t="s">
        <v>637</v>
      </c>
      <c r="G17" s="529" t="s">
        <v>625</v>
      </c>
      <c r="H17" s="531"/>
    </row>
    <row r="18" spans="1:8" ht="32.5" thickBot="1">
      <c r="A18" s="877"/>
      <c r="B18" s="532" t="s">
        <v>642</v>
      </c>
      <c r="C18" s="533" t="e">
        <f>E18/E13</f>
        <v>#VALUE!</v>
      </c>
      <c r="D18" s="534" t="s">
        <v>639</v>
      </c>
      <c r="E18" s="535" t="e">
        <f>C17-C16</f>
        <v>#VALUE!</v>
      </c>
      <c r="F18" s="536" t="s">
        <v>640</v>
      </c>
      <c r="G18" s="535" t="e">
        <f>E18/C7</f>
        <v>#VALUE!</v>
      </c>
      <c r="H18" s="537"/>
    </row>
    <row r="19" spans="1:8" ht="5.25" customHeight="1" thickTop="1" thickBot="1">
      <c r="A19" s="39"/>
      <c r="B19" s="515"/>
      <c r="C19" s="41"/>
      <c r="D19" s="41"/>
      <c r="H19" s="42"/>
    </row>
    <row r="20" spans="1:8">
      <c r="A20" s="875" t="s">
        <v>49</v>
      </c>
      <c r="B20" s="43" t="s">
        <v>81</v>
      </c>
      <c r="C20" s="44" t="s">
        <v>817</v>
      </c>
      <c r="D20" s="45"/>
      <c r="E20" s="9"/>
      <c r="F20" s="9"/>
      <c r="G20" s="9"/>
      <c r="H20" s="10"/>
    </row>
    <row r="21" spans="1:8">
      <c r="A21" s="827"/>
      <c r="B21" s="25" t="s">
        <v>147</v>
      </c>
      <c r="C21" s="46" t="s">
        <v>818</v>
      </c>
      <c r="D21" s="47"/>
      <c r="E21" s="19"/>
      <c r="F21" s="19"/>
      <c r="G21" s="19"/>
      <c r="H21" s="20"/>
    </row>
    <row r="22" spans="1:8">
      <c r="A22" s="827"/>
      <c r="B22" s="25" t="s">
        <v>954</v>
      </c>
      <c r="C22" s="46" t="s">
        <v>955</v>
      </c>
      <c r="D22" s="47"/>
      <c r="E22" s="19"/>
      <c r="F22" s="19"/>
      <c r="G22" s="19"/>
      <c r="H22" s="20"/>
    </row>
    <row r="23" spans="1:8">
      <c r="A23" s="827"/>
      <c r="B23" s="25" t="s">
        <v>98</v>
      </c>
      <c r="C23" s="622" t="s">
        <v>924</v>
      </c>
      <c r="D23" s="47"/>
      <c r="E23" s="19"/>
      <c r="F23" s="19"/>
      <c r="G23" s="19"/>
      <c r="H23" s="20"/>
    </row>
    <row r="24" spans="1:8">
      <c r="A24" s="827"/>
      <c r="B24" s="25" t="s">
        <v>73</v>
      </c>
      <c r="C24" s="25" t="s">
        <v>728</v>
      </c>
      <c r="D24" s="23"/>
      <c r="E24" s="19"/>
      <c r="F24" s="19"/>
      <c r="G24" s="19"/>
      <c r="H24" s="20"/>
    </row>
    <row r="25" spans="1:8">
      <c r="A25" s="827"/>
      <c r="B25" s="25" t="s">
        <v>452</v>
      </c>
      <c r="C25" s="25" t="s">
        <v>620</v>
      </c>
      <c r="D25" s="23"/>
      <c r="E25" s="19"/>
      <c r="F25" s="19"/>
      <c r="G25" s="19"/>
      <c r="H25" s="20"/>
    </row>
    <row r="26" spans="1:8">
      <c r="A26" s="827"/>
      <c r="B26" s="25" t="s">
        <v>445</v>
      </c>
      <c r="C26" s="25" t="s">
        <v>687</v>
      </c>
      <c r="D26" s="23"/>
      <c r="E26" s="19"/>
      <c r="F26" s="19"/>
      <c r="G26" s="19"/>
      <c r="H26" s="20"/>
    </row>
    <row r="27" spans="1:8">
      <c r="A27" s="827"/>
      <c r="B27" s="25" t="s">
        <v>167</v>
      </c>
      <c r="C27" s="25" t="s">
        <v>659</v>
      </c>
      <c r="D27" s="23"/>
      <c r="E27" s="19"/>
      <c r="F27" s="19"/>
      <c r="G27" s="19"/>
      <c r="H27" s="20"/>
    </row>
    <row r="28" spans="1:8" ht="16.5" thickBot="1">
      <c r="A28" s="828"/>
      <c r="B28" s="663" t="s">
        <v>447</v>
      </c>
      <c r="C28" s="663" t="s">
        <v>935</v>
      </c>
      <c r="D28" s="48"/>
      <c r="E28" s="37"/>
      <c r="F28" s="37"/>
      <c r="G28" s="37"/>
      <c r="H28" s="38"/>
    </row>
    <row r="29" spans="1:8" ht="5.25" customHeight="1" thickBot="1">
      <c r="A29" s="39"/>
      <c r="B29" s="40"/>
      <c r="H29" s="42"/>
    </row>
    <row r="30" spans="1:8" s="5" customFormat="1">
      <c r="A30" s="875" t="s">
        <v>160</v>
      </c>
      <c r="B30" s="241" t="s">
        <v>101</v>
      </c>
      <c r="C30" s="242" t="s">
        <v>48</v>
      </c>
      <c r="D30" s="243" t="s">
        <v>125</v>
      </c>
      <c r="E30" s="243" t="s">
        <v>526</v>
      </c>
      <c r="F30" s="243" t="s">
        <v>527</v>
      </c>
      <c r="G30" s="243" t="s">
        <v>528</v>
      </c>
      <c r="H30" s="244" t="s">
        <v>454</v>
      </c>
    </row>
    <row r="31" spans="1:8">
      <c r="A31" s="827"/>
      <c r="B31" s="16"/>
      <c r="C31" s="53">
        <f>39*D31</f>
        <v>0</v>
      </c>
      <c r="D31" s="17"/>
      <c r="E31" s="54"/>
      <c r="F31" s="54"/>
      <c r="G31" s="54"/>
      <c r="H31" s="55" t="e">
        <f t="shared" ref="H31:H36" si="0">D31/$D$37</f>
        <v>#DIV/0!</v>
      </c>
    </row>
    <row r="32" spans="1:8">
      <c r="A32" s="827"/>
      <c r="B32" s="16"/>
      <c r="C32" s="53">
        <f>59*D32</f>
        <v>0</v>
      </c>
      <c r="D32" s="17"/>
      <c r="E32" s="54"/>
      <c r="F32" s="160"/>
      <c r="G32" s="54"/>
      <c r="H32" s="55" t="e">
        <f t="shared" si="0"/>
        <v>#DIV/0!</v>
      </c>
    </row>
    <row r="33" spans="1:9">
      <c r="A33" s="827"/>
      <c r="B33" s="16"/>
      <c r="C33" s="53">
        <f>59*D33</f>
        <v>0</v>
      </c>
      <c r="D33" s="17"/>
      <c r="E33" s="54"/>
      <c r="F33" s="160"/>
      <c r="G33" s="54"/>
      <c r="H33" s="55" t="e">
        <f t="shared" si="0"/>
        <v>#DIV/0!</v>
      </c>
    </row>
    <row r="34" spans="1:9">
      <c r="A34" s="827"/>
      <c r="B34" s="16" t="s">
        <v>957</v>
      </c>
      <c r="C34" s="53">
        <f>70*D34</f>
        <v>0</v>
      </c>
      <c r="D34" s="17"/>
      <c r="E34" s="54"/>
      <c r="F34" s="160"/>
      <c r="G34" s="54"/>
      <c r="H34" s="55" t="e">
        <f t="shared" si="0"/>
        <v>#DIV/0!</v>
      </c>
    </row>
    <row r="35" spans="1:9">
      <c r="A35" s="827"/>
      <c r="B35" s="16"/>
      <c r="C35" s="53">
        <f>74*D35</f>
        <v>0</v>
      </c>
      <c r="D35" s="17"/>
      <c r="E35" s="54"/>
      <c r="F35" s="160"/>
      <c r="G35" s="54"/>
      <c r="H35" s="55" t="e">
        <f t="shared" si="0"/>
        <v>#DIV/0!</v>
      </c>
    </row>
    <row r="36" spans="1:9">
      <c r="A36" s="827"/>
      <c r="B36" s="16"/>
      <c r="C36" s="53">
        <f>84*D36</f>
        <v>0</v>
      </c>
      <c r="D36" s="17"/>
      <c r="E36" s="54"/>
      <c r="F36" s="160"/>
      <c r="G36" s="54"/>
      <c r="H36" s="55" t="e">
        <f t="shared" si="0"/>
        <v>#DIV/0!</v>
      </c>
    </row>
    <row r="37" spans="1:9" ht="16.5" thickBot="1">
      <c r="A37" s="828"/>
      <c r="B37" s="56" t="s">
        <v>462</v>
      </c>
      <c r="C37" s="57">
        <f t="shared" ref="C37:H37" si="1">SUM(C31:C36)</f>
        <v>0</v>
      </c>
      <c r="D37" s="58"/>
      <c r="E37" s="59">
        <f t="shared" si="1"/>
        <v>0</v>
      </c>
      <c r="F37" s="59">
        <f t="shared" si="1"/>
        <v>0</v>
      </c>
      <c r="G37" s="59">
        <f t="shared" si="1"/>
        <v>0</v>
      </c>
      <c r="H37" s="60" t="e">
        <f t="shared" si="1"/>
        <v>#DIV/0!</v>
      </c>
    </row>
    <row r="38" spans="1:9" ht="4.5" customHeight="1" thickBot="1">
      <c r="A38" s="39"/>
      <c r="B38" s="40"/>
      <c r="H38" s="42"/>
    </row>
    <row r="39" spans="1:9" s="2" customFormat="1">
      <c r="A39" s="962" t="s">
        <v>393</v>
      </c>
      <c r="B39" s="241" t="s">
        <v>101</v>
      </c>
      <c r="C39" s="243" t="s">
        <v>839</v>
      </c>
      <c r="D39" s="243" t="s">
        <v>840</v>
      </c>
      <c r="E39" s="243" t="s">
        <v>43</v>
      </c>
      <c r="F39" s="243" t="s">
        <v>903</v>
      </c>
      <c r="G39" s="665" t="s">
        <v>46</v>
      </c>
      <c r="H39" s="246" t="s">
        <v>470</v>
      </c>
    </row>
    <row r="40" spans="1:9" ht="16.5" customHeight="1">
      <c r="A40" s="963"/>
      <c r="B40" s="16"/>
      <c r="C40" s="62"/>
      <c r="D40" s="63"/>
      <c r="E40" s="252"/>
      <c r="F40" s="63"/>
      <c r="G40" s="252"/>
      <c r="H40" s="31"/>
    </row>
    <row r="41" spans="1:9" ht="16.5" customHeight="1">
      <c r="A41" s="963"/>
      <c r="B41" s="16"/>
      <c r="C41" s="62"/>
      <c r="D41" s="63"/>
      <c r="E41" s="252">
        <f>(D41-C41)*25</f>
        <v>0</v>
      </c>
      <c r="F41" s="63"/>
      <c r="G41" s="252">
        <f>(F41-C41)*25</f>
        <v>0</v>
      </c>
      <c r="H41" s="31"/>
    </row>
    <row r="42" spans="1:9" ht="16.5" customHeight="1">
      <c r="A42" s="963"/>
      <c r="B42" s="16"/>
      <c r="C42" s="62"/>
      <c r="D42" s="63"/>
      <c r="E42" s="252">
        <f>(D42-C42)*25</f>
        <v>0</v>
      </c>
      <c r="F42" s="63"/>
      <c r="G42" s="252">
        <f>(F42-C42)*25</f>
        <v>0</v>
      </c>
      <c r="H42" s="31"/>
    </row>
    <row r="43" spans="1:9" ht="16.5" customHeight="1">
      <c r="A43" s="963"/>
      <c r="B43" s="16" t="s">
        <v>957</v>
      </c>
      <c r="C43" s="724">
        <f>F43*70%</f>
        <v>16996000</v>
      </c>
      <c r="D43" s="63">
        <f>F43-2000000</f>
        <v>22280000</v>
      </c>
      <c r="E43" s="252">
        <f>(D43-C43)*34</f>
        <v>179656000</v>
      </c>
      <c r="F43" s="723">
        <v>24280000</v>
      </c>
      <c r="G43" s="252">
        <f>(F43-C43)*34</f>
        <v>247656000</v>
      </c>
      <c r="H43" s="31" t="s">
        <v>1209</v>
      </c>
    </row>
    <row r="44" spans="1:9" ht="16.5" customHeight="1">
      <c r="A44" s="963"/>
      <c r="B44" s="16"/>
      <c r="C44" s="62"/>
      <c r="D44" s="63"/>
      <c r="E44" s="252">
        <f>(D44-C44)*34</f>
        <v>0</v>
      </c>
      <c r="F44" s="63"/>
      <c r="G44" s="252">
        <f>(F44-C44)*34</f>
        <v>0</v>
      </c>
      <c r="H44" s="31"/>
    </row>
    <row r="45" spans="1:9" ht="16.5" customHeight="1" thickBot="1">
      <c r="A45" s="964"/>
      <c r="B45" s="56"/>
      <c r="C45" s="64"/>
      <c r="D45" s="65"/>
      <c r="E45" s="366">
        <f>(D45-C45)*39</f>
        <v>0</v>
      </c>
      <c r="F45" s="65"/>
      <c r="G45" s="366">
        <f>(F45-C45)*39</f>
        <v>0</v>
      </c>
      <c r="H45" s="66"/>
    </row>
    <row r="46" spans="1:9" ht="5.25" customHeight="1" thickBot="1">
      <c r="A46" s="67"/>
      <c r="C46" s="68"/>
      <c r="D46" s="69"/>
      <c r="E46" s="69"/>
      <c r="F46" s="69"/>
      <c r="G46" s="69"/>
    </row>
    <row r="47" spans="1:9" ht="63.5" customHeight="1">
      <c r="A47" s="833" t="s">
        <v>257</v>
      </c>
      <c r="B47" s="243" t="s">
        <v>101</v>
      </c>
      <c r="C47" s="508" t="s">
        <v>1395</v>
      </c>
      <c r="D47" s="247" t="s">
        <v>247</v>
      </c>
      <c r="E47" s="247" t="s">
        <v>322</v>
      </c>
      <c r="F47" s="247" t="s">
        <v>222</v>
      </c>
      <c r="G47" s="247" t="s">
        <v>367</v>
      </c>
      <c r="H47" s="243" t="s">
        <v>470</v>
      </c>
      <c r="I47" s="824" t="s">
        <v>1205</v>
      </c>
    </row>
    <row r="48" spans="1:9" ht="15" customHeight="1">
      <c r="A48" s="878"/>
      <c r="B48" s="25"/>
      <c r="C48" s="71" t="s">
        <v>436</v>
      </c>
      <c r="D48" s="62">
        <f t="shared" ref="D48:D53" si="2">E40</f>
        <v>0</v>
      </c>
      <c r="E48" s="253" t="e">
        <f t="shared" ref="E48:E53" si="3">D48-C48</f>
        <v>#VALUE!</v>
      </c>
      <c r="F48" s="62">
        <f t="shared" ref="F48:F53" si="4">G40</f>
        <v>0</v>
      </c>
      <c r="G48" s="253" t="e">
        <f t="shared" ref="G48:G53" si="5">F48-C48</f>
        <v>#VALUE!</v>
      </c>
      <c r="H48" s="62"/>
      <c r="I48" s="825"/>
    </row>
    <row r="49" spans="1:9">
      <c r="A49" s="834"/>
      <c r="B49" s="25"/>
      <c r="C49" s="71" t="s">
        <v>625</v>
      </c>
      <c r="D49" s="62">
        <f t="shared" si="2"/>
        <v>0</v>
      </c>
      <c r="E49" s="253" t="e">
        <f t="shared" si="3"/>
        <v>#VALUE!</v>
      </c>
      <c r="F49" s="62">
        <f t="shared" si="4"/>
        <v>0</v>
      </c>
      <c r="G49" s="253" t="e">
        <f t="shared" si="5"/>
        <v>#VALUE!</v>
      </c>
      <c r="H49" s="62"/>
      <c r="I49" s="825"/>
    </row>
    <row r="50" spans="1:9">
      <c r="A50" s="834"/>
      <c r="B50" s="25"/>
      <c r="C50" s="71" t="s">
        <v>956</v>
      </c>
      <c r="D50" s="62">
        <f t="shared" si="2"/>
        <v>0</v>
      </c>
      <c r="E50" s="253" t="e">
        <f t="shared" si="3"/>
        <v>#VALUE!</v>
      </c>
      <c r="F50" s="62">
        <f t="shared" si="4"/>
        <v>0</v>
      </c>
      <c r="G50" s="253" t="e">
        <f t="shared" si="5"/>
        <v>#VALUE!</v>
      </c>
      <c r="H50" s="62"/>
      <c r="I50" s="825"/>
    </row>
    <row r="51" spans="1:9" ht="17">
      <c r="A51" s="834"/>
      <c r="B51" s="25" t="s">
        <v>957</v>
      </c>
      <c r="C51" s="71">
        <v>340000000</v>
      </c>
      <c r="D51" s="62">
        <f t="shared" si="2"/>
        <v>179656000</v>
      </c>
      <c r="E51" s="253">
        <f t="shared" si="3"/>
        <v>-160344000</v>
      </c>
      <c r="F51" s="62">
        <f t="shared" si="4"/>
        <v>247656000</v>
      </c>
      <c r="G51" s="253">
        <f t="shared" si="5"/>
        <v>-92344000</v>
      </c>
      <c r="H51" s="62">
        <f>(C51+(C43*34))/34</f>
        <v>26996000</v>
      </c>
      <c r="I51" s="751">
        <f>H51/F43</f>
        <v>1.1118616144975288</v>
      </c>
    </row>
    <row r="52" spans="1:9">
      <c r="A52" s="834"/>
      <c r="B52" s="25"/>
      <c r="C52" s="71" t="s">
        <v>625</v>
      </c>
      <c r="D52" s="62">
        <f t="shared" si="2"/>
        <v>0</v>
      </c>
      <c r="E52" s="253" t="e">
        <f t="shared" si="3"/>
        <v>#VALUE!</v>
      </c>
      <c r="F52" s="62">
        <f t="shared" si="4"/>
        <v>0</v>
      </c>
      <c r="G52" s="253" t="e">
        <f t="shared" si="5"/>
        <v>#VALUE!</v>
      </c>
      <c r="H52" s="62"/>
      <c r="I52" s="31"/>
    </row>
    <row r="53" spans="1:9" ht="16.5" thickBot="1">
      <c r="A53" s="836"/>
      <c r="B53" s="716"/>
      <c r="C53" s="74" t="s">
        <v>436</v>
      </c>
      <c r="D53" s="64">
        <f t="shared" si="2"/>
        <v>0</v>
      </c>
      <c r="E53" s="255" t="e">
        <f t="shared" si="3"/>
        <v>#VALUE!</v>
      </c>
      <c r="F53" s="64">
        <f t="shared" si="4"/>
        <v>0</v>
      </c>
      <c r="G53" s="255" t="e">
        <f t="shared" si="5"/>
        <v>#VALUE!</v>
      </c>
      <c r="H53" s="64"/>
      <c r="I53" s="66"/>
    </row>
    <row r="54" spans="1:9" ht="5" customHeight="1" thickBot="1"/>
    <row r="55" spans="1:9">
      <c r="A55" s="833" t="s">
        <v>598</v>
      </c>
      <c r="B55" s="243" t="s">
        <v>599</v>
      </c>
      <c r="C55" s="242" t="s">
        <v>660</v>
      </c>
      <c r="D55" s="965" t="s">
        <v>600</v>
      </c>
      <c r="E55" s="965"/>
      <c r="F55" s="965"/>
      <c r="G55" s="965"/>
      <c r="H55" s="966"/>
    </row>
    <row r="56" spans="1:9" ht="17">
      <c r="A56" s="834"/>
      <c r="B56" s="165" t="s">
        <v>601</v>
      </c>
      <c r="C56" s="625">
        <v>1970</v>
      </c>
      <c r="D56" s="617"/>
      <c r="E56" s="54"/>
      <c r="F56" s="54"/>
      <c r="G56" s="54"/>
      <c r="H56" s="31"/>
    </row>
    <row r="57" spans="1:9" ht="17">
      <c r="A57" s="834"/>
      <c r="B57" s="165" t="s">
        <v>602</v>
      </c>
      <c r="C57" s="625">
        <v>2029</v>
      </c>
      <c r="D57" s="17"/>
      <c r="E57" s="54"/>
      <c r="F57" s="54"/>
      <c r="G57" s="54"/>
      <c r="H57" s="31"/>
    </row>
    <row r="58" spans="1:9" ht="17">
      <c r="A58" s="834"/>
      <c r="B58" s="165" t="s">
        <v>603</v>
      </c>
      <c r="C58" s="754">
        <v>2088</v>
      </c>
      <c r="D58" s="17"/>
      <c r="E58" s="54"/>
      <c r="F58" s="54"/>
      <c r="G58" s="54"/>
      <c r="H58" s="31"/>
    </row>
    <row r="59" spans="1:9" ht="17">
      <c r="A59" s="834"/>
      <c r="B59" s="165" t="s">
        <v>604</v>
      </c>
      <c r="C59" s="754">
        <v>2464</v>
      </c>
      <c r="D59" s="17"/>
      <c r="E59" s="54"/>
      <c r="F59" s="54"/>
      <c r="G59" s="54"/>
      <c r="H59" s="31"/>
    </row>
    <row r="60" spans="1:9" ht="17">
      <c r="A60" s="834"/>
      <c r="B60" s="165" t="s">
        <v>1467</v>
      </c>
      <c r="C60" s="754">
        <f>H51/10000</f>
        <v>2699.6</v>
      </c>
      <c r="D60" s="17"/>
      <c r="E60" s="54"/>
      <c r="F60" s="54"/>
      <c r="G60" s="54"/>
      <c r="H60" s="31"/>
    </row>
    <row r="61" spans="1:9" ht="17">
      <c r="A61" s="834"/>
      <c r="B61" s="165" t="s">
        <v>1462</v>
      </c>
      <c r="C61" s="754"/>
      <c r="D61" s="17"/>
      <c r="E61" s="54"/>
      <c r="F61" s="54"/>
      <c r="G61" s="54"/>
      <c r="H61" s="31"/>
    </row>
    <row r="62" spans="1:9" ht="17">
      <c r="A62" s="834"/>
      <c r="B62" s="165" t="s">
        <v>1463</v>
      </c>
      <c r="C62" s="754"/>
      <c r="D62" s="17"/>
      <c r="E62" s="54"/>
      <c r="F62" s="54"/>
      <c r="G62" s="54"/>
      <c r="H62" s="31"/>
    </row>
    <row r="63" spans="1:9" ht="17">
      <c r="A63" s="834"/>
      <c r="B63" s="165" t="s">
        <v>1464</v>
      </c>
      <c r="C63" s="754"/>
      <c r="D63" s="17"/>
      <c r="E63" s="54"/>
      <c r="F63" s="54"/>
      <c r="G63" s="54"/>
      <c r="H63" s="31"/>
    </row>
    <row r="64" spans="1:9" ht="17">
      <c r="A64" s="834"/>
      <c r="B64" s="165" t="s">
        <v>1470</v>
      </c>
      <c r="C64" s="754"/>
      <c r="D64" s="17"/>
      <c r="E64" s="54"/>
      <c r="F64" s="54"/>
      <c r="G64" s="54"/>
      <c r="H64" s="31"/>
    </row>
    <row r="65" spans="1:8" ht="17">
      <c r="A65" s="834"/>
      <c r="B65" s="489" t="s">
        <v>1471</v>
      </c>
      <c r="C65" s="754"/>
      <c r="D65" s="17"/>
      <c r="E65" s="54"/>
      <c r="F65" s="54"/>
      <c r="G65" s="54"/>
      <c r="H65" s="31"/>
    </row>
    <row r="66" spans="1:8" ht="17">
      <c r="A66" s="834"/>
      <c r="B66" s="489" t="s">
        <v>1472</v>
      </c>
      <c r="C66" s="754"/>
      <c r="D66" s="17"/>
      <c r="E66" s="54"/>
      <c r="F66" s="54"/>
      <c r="G66" s="54"/>
      <c r="H66" s="31"/>
    </row>
    <row r="67" spans="1:8" ht="17">
      <c r="A67" s="834"/>
      <c r="B67" s="165" t="s">
        <v>1473</v>
      </c>
      <c r="C67" s="754"/>
      <c r="D67" s="17"/>
      <c r="E67" s="54"/>
      <c r="F67" s="54"/>
      <c r="G67" s="54"/>
      <c r="H67" s="31"/>
    </row>
    <row r="68" spans="1:8" ht="17.5" thickBot="1">
      <c r="A68" s="836"/>
      <c r="B68" s="490" t="s">
        <v>832</v>
      </c>
      <c r="C68" s="755"/>
      <c r="D68" s="618"/>
      <c r="E68" s="619"/>
      <c r="F68" s="619"/>
      <c r="G68" s="619"/>
      <c r="H68" s="66"/>
    </row>
    <row r="69" spans="1:8">
      <c r="A69" s="826" t="s">
        <v>650</v>
      </c>
      <c r="B69" s="582"/>
      <c r="C69" s="565"/>
      <c r="D69" s="566"/>
      <c r="E69" s="559"/>
      <c r="F69" s="559"/>
      <c r="G69" s="559"/>
      <c r="H69" s="567"/>
    </row>
    <row r="70" spans="1:8">
      <c r="A70" s="827"/>
      <c r="B70" s="206"/>
      <c r="C70" s="78"/>
      <c r="D70" s="79"/>
      <c r="E70" s="76"/>
      <c r="F70" s="76"/>
      <c r="G70" s="76"/>
      <c r="H70" s="114"/>
    </row>
    <row r="71" spans="1:8">
      <c r="A71" s="827"/>
      <c r="B71" s="206"/>
      <c r="C71" s="78"/>
      <c r="D71" s="79"/>
      <c r="E71" s="76"/>
      <c r="F71" s="76"/>
      <c r="G71" s="76"/>
      <c r="H71" s="114"/>
    </row>
    <row r="72" spans="1:8">
      <c r="A72" s="827"/>
      <c r="B72" s="206"/>
      <c r="C72" s="78"/>
      <c r="D72" s="79"/>
      <c r="E72" s="76"/>
      <c r="F72" s="76"/>
      <c r="G72" s="76"/>
      <c r="H72" s="114"/>
    </row>
    <row r="73" spans="1:8">
      <c r="A73" s="827"/>
      <c r="B73" s="206"/>
      <c r="C73" s="78"/>
      <c r="D73" s="79"/>
      <c r="E73" s="76"/>
      <c r="F73" s="76"/>
      <c r="G73" s="76"/>
      <c r="H73" s="114"/>
    </row>
    <row r="74" spans="1:8">
      <c r="A74" s="827"/>
      <c r="B74" s="206"/>
      <c r="C74" s="78"/>
      <c r="D74" s="79"/>
      <c r="E74" s="76"/>
      <c r="F74" s="76"/>
      <c r="G74" s="76"/>
      <c r="H74" s="114"/>
    </row>
    <row r="75" spans="1:8" ht="16.5" thickBot="1">
      <c r="A75" s="828"/>
      <c r="B75" s="568"/>
      <c r="C75" s="569"/>
      <c r="D75" s="570"/>
      <c r="E75" s="571"/>
      <c r="F75" s="571"/>
      <c r="G75" s="571"/>
      <c r="H75" s="572"/>
    </row>
  </sheetData>
  <mergeCells count="15">
    <mergeCell ref="A1:H1"/>
    <mergeCell ref="A2:A18"/>
    <mergeCell ref="C4:D4"/>
    <mergeCell ref="D5:E5"/>
    <mergeCell ref="G5:H5"/>
    <mergeCell ref="G6:H6"/>
    <mergeCell ref="F8:H8"/>
    <mergeCell ref="I47:I50"/>
    <mergeCell ref="A69:A75"/>
    <mergeCell ref="A20:A28"/>
    <mergeCell ref="A30:A37"/>
    <mergeCell ref="A39:A45"/>
    <mergeCell ref="A47:A53"/>
    <mergeCell ref="A55:A68"/>
    <mergeCell ref="D55:H55"/>
  </mergeCells>
  <phoneticPr fontId="16" type="noConversion"/>
  <pageMargins left="0.69972223043441772" right="0.69972223043441772" top="0.75" bottom="0.75" header="0.30000001192092896" footer="0.30000001192092896"/>
  <pageSetup paperSize="9" scale="86" orientation="portrait" horizontalDpi="4294967293" verticalDpi="4294967293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128"/>
  <sheetViews>
    <sheetView showGridLines="0" topLeftCell="A62" zoomScale="85" zoomScaleNormal="85" zoomScaleSheetLayoutView="70" workbookViewId="0">
      <selection activeCell="I63" sqref="I63"/>
    </sheetView>
  </sheetViews>
  <sheetFormatPr defaultColWidth="13.4140625" defaultRowHeight="16"/>
  <cols>
    <col min="1" max="1" width="4.9140625" style="1" customWidth="1"/>
    <col min="2" max="2" width="17.5" style="2" bestFit="1" customWidth="1"/>
    <col min="3" max="3" width="24.9140625" style="3" customWidth="1"/>
    <col min="4" max="4" width="19.6640625" style="4" customWidth="1"/>
    <col min="5" max="5" width="21.6640625" style="1" bestFit="1" customWidth="1"/>
    <col min="6" max="6" width="18.6640625" style="1" customWidth="1"/>
    <col min="7" max="7" width="18.08203125" style="1" bestFit="1" customWidth="1"/>
    <col min="8" max="8" width="16.9140625" style="1" bestFit="1" customWidth="1"/>
    <col min="9" max="9" width="26.33203125" style="1" bestFit="1" customWidth="1"/>
    <col min="10" max="16384" width="13.4140625" style="1"/>
  </cols>
  <sheetData>
    <row r="1" spans="1:8" ht="31.5" customHeight="1" thickBot="1">
      <c r="A1" s="872" t="s">
        <v>781</v>
      </c>
      <c r="B1" s="873"/>
      <c r="C1" s="873"/>
      <c r="D1" s="873"/>
      <c r="E1" s="873"/>
      <c r="F1" s="873"/>
      <c r="G1" s="873"/>
      <c r="H1" s="874"/>
    </row>
    <row r="2" spans="1:8">
      <c r="A2" s="875" t="s">
        <v>112</v>
      </c>
      <c r="B2" s="6" t="s">
        <v>420</v>
      </c>
      <c r="C2" s="7"/>
      <c r="D2" s="8"/>
      <c r="E2" s="9"/>
      <c r="F2" s="9"/>
      <c r="G2" s="9"/>
      <c r="H2" s="10"/>
    </row>
    <row r="3" spans="1:8">
      <c r="A3" s="876"/>
      <c r="B3" s="11" t="s">
        <v>471</v>
      </c>
      <c r="C3" s="12" t="s">
        <v>1129</v>
      </c>
      <c r="D3" s="13"/>
      <c r="E3" s="14"/>
      <c r="F3" s="14"/>
      <c r="G3" s="14"/>
      <c r="H3" s="15"/>
    </row>
    <row r="4" spans="1:8">
      <c r="A4" s="876"/>
      <c r="B4" s="11" t="s">
        <v>407</v>
      </c>
      <c r="C4" s="856" t="s">
        <v>782</v>
      </c>
      <c r="D4" s="857"/>
      <c r="E4" s="548" t="s">
        <v>644</v>
      </c>
      <c r="F4" s="529">
        <v>4500000</v>
      </c>
      <c r="G4" s="14"/>
      <c r="H4" s="15"/>
    </row>
    <row r="5" spans="1:8" ht="31.75" customHeight="1">
      <c r="A5" s="827"/>
      <c r="B5" s="16" t="s">
        <v>626</v>
      </c>
      <c r="C5" s="17">
        <v>91521</v>
      </c>
      <c r="D5" s="882" t="s">
        <v>624</v>
      </c>
      <c r="E5" s="859"/>
      <c r="F5" s="250">
        <f>C5*0.3025/C7</f>
        <v>32.456157678780777</v>
      </c>
      <c r="G5" s="858" t="s">
        <v>522</v>
      </c>
      <c r="H5" s="883"/>
    </row>
    <row r="6" spans="1:8">
      <c r="A6" s="827"/>
      <c r="B6" s="16" t="s">
        <v>425</v>
      </c>
      <c r="C6" s="17">
        <v>18</v>
      </c>
      <c r="D6" s="544" t="s">
        <v>627</v>
      </c>
      <c r="E6" s="530"/>
      <c r="F6" s="538" t="s">
        <v>628</v>
      </c>
      <c r="G6" s="884">
        <f>C5-E6</f>
        <v>91521</v>
      </c>
      <c r="H6" s="885"/>
    </row>
    <row r="7" spans="1:8">
      <c r="A7" s="827"/>
      <c r="B7" s="16" t="s">
        <v>121</v>
      </c>
      <c r="C7" s="17">
        <v>853</v>
      </c>
      <c r="D7" s="21" t="s">
        <v>39</v>
      </c>
      <c r="E7" s="251">
        <f>C7/C9</f>
        <v>0.32757296466973884</v>
      </c>
      <c r="F7" s="18"/>
      <c r="G7" s="19"/>
      <c r="H7" s="20"/>
    </row>
    <row r="8" spans="1:8">
      <c r="A8" s="827"/>
      <c r="B8" s="16" t="s">
        <v>54</v>
      </c>
      <c r="C8" s="249">
        <f>C9-C7</f>
        <v>1751</v>
      </c>
      <c r="D8" s="21" t="s">
        <v>145</v>
      </c>
      <c r="E8" s="251">
        <f>C8/C9</f>
        <v>0.67242703533026116</v>
      </c>
      <c r="F8" s="863" t="s">
        <v>29</v>
      </c>
      <c r="G8" s="864"/>
      <c r="H8" s="865"/>
    </row>
    <row r="9" spans="1:8">
      <c r="A9" s="827"/>
      <c r="B9" s="16" t="s">
        <v>125</v>
      </c>
      <c r="C9" s="17">
        <v>2604</v>
      </c>
      <c r="D9" s="609" t="s">
        <v>1452</v>
      </c>
      <c r="E9" s="19"/>
      <c r="F9" s="19"/>
      <c r="G9" s="19"/>
      <c r="H9" s="20"/>
    </row>
    <row r="10" spans="1:8">
      <c r="A10" s="827"/>
      <c r="B10" s="16" t="s">
        <v>427</v>
      </c>
      <c r="C10" s="24">
        <v>0.15010000000000001</v>
      </c>
      <c r="D10" s="551" t="s">
        <v>84</v>
      </c>
      <c r="E10" s="545">
        <f>G6*C10</f>
        <v>13737.302100000001</v>
      </c>
      <c r="F10" s="544" t="s">
        <v>41</v>
      </c>
      <c r="G10" s="541">
        <f>E11/E10</f>
        <v>18.767488341105928</v>
      </c>
      <c r="H10" s="29"/>
    </row>
    <row r="11" spans="1:8">
      <c r="A11" s="827"/>
      <c r="B11" s="16" t="s">
        <v>466</v>
      </c>
      <c r="C11" s="24">
        <v>2.8170000000000002</v>
      </c>
      <c r="D11" s="551" t="s">
        <v>631</v>
      </c>
      <c r="E11" s="546">
        <f>G6*C11</f>
        <v>257814.65700000001</v>
      </c>
      <c r="F11" s="544" t="s">
        <v>209</v>
      </c>
      <c r="G11" s="541">
        <f>E11*76%</f>
        <v>195939.13932000002</v>
      </c>
      <c r="H11" s="31"/>
    </row>
    <row r="12" spans="1:8" ht="32">
      <c r="A12" s="827"/>
      <c r="B12" s="16" t="s">
        <v>208</v>
      </c>
      <c r="C12" s="588" t="s">
        <v>1453</v>
      </c>
      <c r="D12" s="550" t="s">
        <v>629</v>
      </c>
      <c r="E12" s="529" t="s">
        <v>625</v>
      </c>
      <c r="F12" s="542" t="s">
        <v>234</v>
      </c>
      <c r="G12" s="543">
        <f>G11/C37</f>
        <v>1.1135879429165745</v>
      </c>
      <c r="H12" s="55"/>
    </row>
    <row r="13" spans="1:8" ht="23">
      <c r="A13" s="827"/>
      <c r="B13" s="16" t="s">
        <v>441</v>
      </c>
      <c r="C13" s="611" t="s">
        <v>788</v>
      </c>
      <c r="D13" s="544" t="s">
        <v>630</v>
      </c>
      <c r="E13" s="547" t="e">
        <f>C7*E12</f>
        <v>#VALUE!</v>
      </c>
      <c r="F13" s="540" t="s">
        <v>632</v>
      </c>
      <c r="G13" s="541">
        <f>E11*0.3025/F5</f>
        <v>2402.9009999999998</v>
      </c>
      <c r="H13" s="20"/>
    </row>
    <row r="14" spans="1:8">
      <c r="A14" s="827"/>
      <c r="B14" s="32" t="s">
        <v>641</v>
      </c>
      <c r="C14" s="33">
        <v>1.1000000000000001</v>
      </c>
      <c r="D14" s="549" t="s">
        <v>633</v>
      </c>
      <c r="E14" s="530" t="s">
        <v>625</v>
      </c>
      <c r="F14" s="538" t="s">
        <v>645</v>
      </c>
      <c r="G14" s="539" t="e">
        <f>E14*G13</f>
        <v>#VALUE!</v>
      </c>
      <c r="H14" s="20"/>
    </row>
    <row r="15" spans="1:8" ht="3.65" customHeight="1" thickBot="1">
      <c r="A15" s="827"/>
      <c r="B15" s="516"/>
      <c r="C15" s="517"/>
      <c r="D15" s="518"/>
      <c r="E15" s="155"/>
      <c r="F15" s="514"/>
      <c r="G15" s="519"/>
      <c r="H15" s="156"/>
    </row>
    <row r="16" spans="1:8" ht="16.5" thickTop="1">
      <c r="A16" s="877"/>
      <c r="B16" s="520" t="s">
        <v>635</v>
      </c>
      <c r="C16" s="521" t="e">
        <f>E16+G16</f>
        <v>#VALUE!</v>
      </c>
      <c r="D16" s="522" t="s">
        <v>643</v>
      </c>
      <c r="E16" s="523" t="e">
        <f>G14*F4</f>
        <v>#VALUE!</v>
      </c>
      <c r="F16" s="524" t="s">
        <v>634</v>
      </c>
      <c r="G16" s="523" t="e">
        <f>E16*30%</f>
        <v>#VALUE!</v>
      </c>
      <c r="H16" s="525"/>
    </row>
    <row r="17" spans="1:8">
      <c r="A17" s="877"/>
      <c r="B17" s="526" t="s">
        <v>638</v>
      </c>
      <c r="C17" s="527" t="e">
        <f>(E17*C7)+(G17*C8)</f>
        <v>#VALUE!</v>
      </c>
      <c r="D17" s="528" t="s">
        <v>636</v>
      </c>
      <c r="E17" s="529" t="s">
        <v>625</v>
      </c>
      <c r="F17" s="530" t="s">
        <v>637</v>
      </c>
      <c r="G17" s="529" t="s">
        <v>625</v>
      </c>
      <c r="H17" s="531"/>
    </row>
    <row r="18" spans="1:8" ht="32.5" thickBot="1">
      <c r="A18" s="877"/>
      <c r="B18" s="532" t="s">
        <v>642</v>
      </c>
      <c r="C18" s="533" t="e">
        <f>E18/E13</f>
        <v>#VALUE!</v>
      </c>
      <c r="D18" s="534" t="s">
        <v>639</v>
      </c>
      <c r="E18" s="535" t="e">
        <f>C17-C16</f>
        <v>#VALUE!</v>
      </c>
      <c r="F18" s="536" t="s">
        <v>640</v>
      </c>
      <c r="G18" s="535" t="e">
        <f>E18/C7</f>
        <v>#VALUE!</v>
      </c>
      <c r="H18" s="537"/>
    </row>
    <row r="19" spans="1:8" ht="5.25" customHeight="1" thickTop="1" thickBot="1">
      <c r="A19" s="39"/>
      <c r="B19" s="515"/>
      <c r="C19" s="41"/>
      <c r="D19" s="41"/>
      <c r="H19" s="42"/>
    </row>
    <row r="20" spans="1:8">
      <c r="A20" s="875" t="s">
        <v>49</v>
      </c>
      <c r="B20" s="43" t="s">
        <v>81</v>
      </c>
      <c r="C20" s="44" t="s">
        <v>783</v>
      </c>
      <c r="D20" s="45"/>
      <c r="E20" s="9"/>
      <c r="F20" s="9"/>
      <c r="G20" s="9"/>
      <c r="H20" s="10"/>
    </row>
    <row r="21" spans="1:8">
      <c r="A21" s="827"/>
      <c r="B21" s="25" t="s">
        <v>147</v>
      </c>
      <c r="C21" s="46" t="s">
        <v>784</v>
      </c>
      <c r="D21" s="47"/>
      <c r="E21" s="19"/>
      <c r="F21" s="19"/>
      <c r="G21" s="19"/>
      <c r="H21" s="20"/>
    </row>
    <row r="22" spans="1:8">
      <c r="A22" s="827"/>
      <c r="B22" s="25" t="s">
        <v>785</v>
      </c>
      <c r="C22" s="46" t="s">
        <v>786</v>
      </c>
      <c r="D22" s="47"/>
      <c r="E22" s="19"/>
      <c r="F22" s="19"/>
      <c r="G22" s="19"/>
      <c r="H22" s="20"/>
    </row>
    <row r="23" spans="1:8">
      <c r="A23" s="827"/>
      <c r="B23" s="25" t="s">
        <v>98</v>
      </c>
      <c r="C23" s="46" t="s">
        <v>1067</v>
      </c>
      <c r="D23" s="47"/>
      <c r="E23" s="19"/>
      <c r="F23" s="19"/>
      <c r="G23" s="19"/>
      <c r="H23" s="20"/>
    </row>
    <row r="24" spans="1:8">
      <c r="A24" s="827"/>
      <c r="B24" s="25" t="s">
        <v>73</v>
      </c>
      <c r="C24" s="25" t="s">
        <v>1068</v>
      </c>
      <c r="D24" s="23"/>
      <c r="E24" s="19"/>
      <c r="F24" s="19"/>
      <c r="G24" s="19"/>
      <c r="H24" s="20"/>
    </row>
    <row r="25" spans="1:8">
      <c r="A25" s="827"/>
      <c r="B25" s="25" t="s">
        <v>452</v>
      </c>
      <c r="C25" s="25" t="s">
        <v>1069</v>
      </c>
      <c r="D25" s="23"/>
      <c r="E25" s="19"/>
      <c r="F25" s="19"/>
      <c r="G25" s="19"/>
      <c r="H25" s="20"/>
    </row>
    <row r="26" spans="1:8">
      <c r="A26" s="827"/>
      <c r="B26" s="25" t="s">
        <v>445</v>
      </c>
      <c r="C26" s="25" t="s">
        <v>1070</v>
      </c>
      <c r="D26" s="23"/>
      <c r="E26" s="19"/>
      <c r="F26" s="19"/>
      <c r="G26" s="19"/>
      <c r="H26" s="20"/>
    </row>
    <row r="27" spans="1:8">
      <c r="A27" s="827"/>
      <c r="B27" s="25" t="s">
        <v>167</v>
      </c>
      <c r="C27" s="25" t="s">
        <v>1071</v>
      </c>
      <c r="D27" s="23"/>
      <c r="E27" s="19"/>
      <c r="F27" s="19"/>
      <c r="G27" s="19"/>
      <c r="H27" s="20"/>
    </row>
    <row r="28" spans="1:8" ht="16.5" thickBot="1">
      <c r="A28" s="828"/>
      <c r="B28" s="610" t="s">
        <v>447</v>
      </c>
      <c r="C28" s="610" t="s">
        <v>1072</v>
      </c>
      <c r="D28" s="48"/>
      <c r="E28" s="37"/>
      <c r="F28" s="37"/>
      <c r="G28" s="37"/>
      <c r="H28" s="38"/>
    </row>
    <row r="29" spans="1:8" ht="5.25" customHeight="1" thickBot="1">
      <c r="A29" s="39"/>
      <c r="B29" s="40"/>
      <c r="H29" s="42"/>
    </row>
    <row r="30" spans="1:8" s="5" customFormat="1">
      <c r="A30" s="875" t="s">
        <v>948</v>
      </c>
      <c r="B30" s="241" t="s">
        <v>101</v>
      </c>
      <c r="C30" s="242" t="s">
        <v>48</v>
      </c>
      <c r="D30" s="243" t="s">
        <v>125</v>
      </c>
      <c r="E30" s="243" t="s">
        <v>526</v>
      </c>
      <c r="F30" s="243" t="s">
        <v>527</v>
      </c>
      <c r="G30" s="243" t="s">
        <v>528</v>
      </c>
      <c r="H30" s="244" t="s">
        <v>454</v>
      </c>
    </row>
    <row r="31" spans="1:8">
      <c r="A31" s="827"/>
      <c r="B31" s="16" t="s">
        <v>1091</v>
      </c>
      <c r="C31" s="53">
        <f>38*D31</f>
        <v>6802</v>
      </c>
      <c r="D31" s="17">
        <v>179</v>
      </c>
      <c r="E31" s="54"/>
      <c r="F31" s="54"/>
      <c r="G31" s="54"/>
      <c r="H31" s="55">
        <f t="shared" ref="H31:H36" si="0">D31/$D$37</f>
        <v>7.2764227642276427E-2</v>
      </c>
    </row>
    <row r="32" spans="1:8">
      <c r="A32" s="827"/>
      <c r="B32" s="16" t="s">
        <v>825</v>
      </c>
      <c r="C32" s="53">
        <f>38*D32</f>
        <v>3724</v>
      </c>
      <c r="D32" s="17">
        <v>98</v>
      </c>
      <c r="E32" s="54"/>
      <c r="F32" s="54"/>
      <c r="G32" s="54"/>
      <c r="H32" s="55">
        <f t="shared" si="0"/>
        <v>3.9837398373983743E-2</v>
      </c>
    </row>
    <row r="33" spans="1:8">
      <c r="A33" s="827"/>
      <c r="B33" s="16" t="s">
        <v>1456</v>
      </c>
      <c r="C33" s="53">
        <f>59*D33</f>
        <v>46551</v>
      </c>
      <c r="D33" s="17">
        <v>789</v>
      </c>
      <c r="E33" s="54"/>
      <c r="F33" s="160"/>
      <c r="G33" s="54"/>
      <c r="H33" s="55">
        <f t="shared" si="0"/>
        <v>0.32073170731707318</v>
      </c>
    </row>
    <row r="34" spans="1:8">
      <c r="A34" s="827"/>
      <c r="B34" s="16" t="s">
        <v>1455</v>
      </c>
      <c r="C34" s="53">
        <f>74*D34</f>
        <v>15688</v>
      </c>
      <c r="D34" s="17">
        <v>212</v>
      </c>
      <c r="E34" s="54"/>
      <c r="F34" s="160"/>
      <c r="G34" s="54"/>
      <c r="H34" s="55">
        <f t="shared" si="0"/>
        <v>8.6178861788617889E-2</v>
      </c>
    </row>
    <row r="35" spans="1:8">
      <c r="A35" s="827"/>
      <c r="B35" s="16" t="s">
        <v>1454</v>
      </c>
      <c r="C35" s="53">
        <f>84*D35</f>
        <v>82908</v>
      </c>
      <c r="D35" s="17">
        <v>987</v>
      </c>
      <c r="E35" s="54"/>
      <c r="F35" s="160"/>
      <c r="G35" s="54"/>
      <c r="H35" s="55">
        <f t="shared" si="0"/>
        <v>0.40121951219512197</v>
      </c>
    </row>
    <row r="36" spans="1:8">
      <c r="A36" s="827"/>
      <c r="B36" s="16" t="s">
        <v>1457</v>
      </c>
      <c r="C36" s="53">
        <f>104*D36</f>
        <v>20280</v>
      </c>
      <c r="D36" s="17">
        <v>195</v>
      </c>
      <c r="E36" s="54"/>
      <c r="F36" s="160"/>
      <c r="G36" s="54"/>
      <c r="H36" s="55">
        <f t="shared" si="0"/>
        <v>7.926829268292683E-2</v>
      </c>
    </row>
    <row r="37" spans="1:8" ht="16.5" thickBot="1">
      <c r="A37" s="828"/>
      <c r="B37" s="56" t="s">
        <v>462</v>
      </c>
      <c r="C37" s="57">
        <f t="shared" ref="C37:H37" si="1">SUM(C31:C36)</f>
        <v>175953</v>
      </c>
      <c r="D37" s="58">
        <f t="shared" si="1"/>
        <v>2460</v>
      </c>
      <c r="E37" s="59">
        <f t="shared" si="1"/>
        <v>0</v>
      </c>
      <c r="F37" s="59">
        <f t="shared" si="1"/>
        <v>0</v>
      </c>
      <c r="G37" s="59">
        <f t="shared" si="1"/>
        <v>0</v>
      </c>
      <c r="H37" s="60">
        <f t="shared" si="1"/>
        <v>1</v>
      </c>
    </row>
    <row r="38" spans="1:8" ht="4.5" customHeight="1" thickBot="1">
      <c r="A38" s="39"/>
      <c r="B38" s="40"/>
      <c r="H38" s="42"/>
    </row>
    <row r="39" spans="1:8" s="2" customFormat="1">
      <c r="A39" s="967" t="s">
        <v>393</v>
      </c>
      <c r="B39" s="241" t="s">
        <v>101</v>
      </c>
      <c r="C39" s="243" t="s">
        <v>901</v>
      </c>
      <c r="D39" s="243" t="s">
        <v>902</v>
      </c>
      <c r="E39" s="243" t="s">
        <v>43</v>
      </c>
      <c r="F39" s="347" t="s">
        <v>1192</v>
      </c>
      <c r="G39" s="245" t="s">
        <v>46</v>
      </c>
      <c r="H39" s="246" t="s">
        <v>470</v>
      </c>
    </row>
    <row r="40" spans="1:8" ht="16.5" customHeight="1">
      <c r="A40" s="968"/>
      <c r="B40" s="16"/>
      <c r="C40" s="62"/>
      <c r="D40" s="63"/>
      <c r="E40" s="252"/>
      <c r="F40" s="63"/>
      <c r="G40" s="252"/>
      <c r="H40" s="31"/>
    </row>
    <row r="41" spans="1:8" ht="16.5" customHeight="1">
      <c r="A41" s="968"/>
      <c r="B41" s="16"/>
      <c r="C41" s="62"/>
      <c r="D41" s="63"/>
      <c r="E41" s="252">
        <f>(D41-C41)*25</f>
        <v>0</v>
      </c>
      <c r="F41" s="63"/>
      <c r="G41" s="252">
        <f>(F41-C41)*25</f>
        <v>0</v>
      </c>
      <c r="H41" s="31"/>
    </row>
    <row r="42" spans="1:8" ht="16.5" customHeight="1">
      <c r="A42" s="968"/>
      <c r="B42" s="16"/>
      <c r="C42" s="62"/>
      <c r="D42" s="63"/>
      <c r="E42" s="252">
        <f>(D42-C42)*31</f>
        <v>0</v>
      </c>
      <c r="F42" s="63"/>
      <c r="G42" s="252">
        <f>(F42-C42)*31</f>
        <v>0</v>
      </c>
      <c r="H42" s="31"/>
    </row>
    <row r="43" spans="1:8" ht="16.5" customHeight="1">
      <c r="A43" s="968"/>
      <c r="B43" s="16"/>
      <c r="C43" s="62"/>
      <c r="D43" s="63"/>
      <c r="E43" s="252">
        <f>(D43-C43)*31</f>
        <v>0</v>
      </c>
      <c r="F43" s="63"/>
      <c r="G43" s="252">
        <f>(F43-C43)*31</f>
        <v>0</v>
      </c>
      <c r="H43" s="31"/>
    </row>
    <row r="44" spans="1:8" ht="16.5" customHeight="1">
      <c r="A44" s="968"/>
      <c r="B44" s="16" t="s">
        <v>896</v>
      </c>
      <c r="C44" s="724">
        <f>F44*70%</f>
        <v>18557000</v>
      </c>
      <c r="D44" s="63">
        <f>F44-2000000</f>
        <v>24510000</v>
      </c>
      <c r="E44" s="252">
        <f>(D44-C44)*34</f>
        <v>202402000</v>
      </c>
      <c r="F44" s="723">
        <v>26510000</v>
      </c>
      <c r="G44" s="252">
        <f>(F44-C44)*34</f>
        <v>270402000</v>
      </c>
      <c r="H44" s="31" t="s">
        <v>1191</v>
      </c>
    </row>
    <row r="45" spans="1:8" ht="16.5" customHeight="1">
      <c r="A45" s="968"/>
      <c r="B45" s="16"/>
      <c r="C45" s="62"/>
      <c r="D45" s="63"/>
      <c r="E45" s="252">
        <f>(D45-C45)*34</f>
        <v>0</v>
      </c>
      <c r="F45" s="63"/>
      <c r="G45" s="252">
        <f>(F45-C45)*34</f>
        <v>0</v>
      </c>
      <c r="H45" s="31"/>
    </row>
    <row r="46" spans="1:8" ht="16.5" customHeight="1" thickBot="1">
      <c r="A46" s="968"/>
      <c r="B46" s="129"/>
      <c r="C46" s="62"/>
      <c r="D46" s="63"/>
      <c r="E46" s="252">
        <f>(D46-C46)*39</f>
        <v>0</v>
      </c>
      <c r="F46" s="63"/>
      <c r="G46" s="252">
        <f>(F46-C46)*39</f>
        <v>0</v>
      </c>
      <c r="H46" s="31"/>
    </row>
    <row r="47" spans="1:8" ht="16.5" customHeight="1" thickBot="1">
      <c r="A47" s="969"/>
      <c r="B47" s="56"/>
      <c r="C47" s="64"/>
      <c r="D47" s="65"/>
      <c r="E47" s="366">
        <f>(D47-C47)*45</f>
        <v>0</v>
      </c>
      <c r="F47" s="65"/>
      <c r="G47" s="366">
        <f>(F47-C47)*45</f>
        <v>0</v>
      </c>
      <c r="H47" s="66"/>
    </row>
    <row r="48" spans="1:8" ht="5.25" customHeight="1" thickBot="1">
      <c r="A48" s="67"/>
      <c r="C48" s="68"/>
      <c r="D48" s="69"/>
      <c r="E48" s="69"/>
      <c r="F48" s="69"/>
      <c r="G48" s="69"/>
    </row>
    <row r="49" spans="1:9" ht="57" customHeight="1">
      <c r="A49" s="833" t="s">
        <v>257</v>
      </c>
      <c r="B49" s="243" t="s">
        <v>101</v>
      </c>
      <c r="C49" s="508" t="s">
        <v>1395</v>
      </c>
      <c r="D49" s="247" t="s">
        <v>247</v>
      </c>
      <c r="E49" s="247" t="s">
        <v>322</v>
      </c>
      <c r="F49" s="247" t="s">
        <v>222</v>
      </c>
      <c r="G49" s="247" t="s">
        <v>367</v>
      </c>
      <c r="H49" s="243" t="s">
        <v>1136</v>
      </c>
      <c r="I49" s="824" t="s">
        <v>1206</v>
      </c>
    </row>
    <row r="50" spans="1:9" ht="15" customHeight="1">
      <c r="A50" s="878"/>
      <c r="B50" s="25" t="s">
        <v>264</v>
      </c>
      <c r="C50" s="71" t="s">
        <v>436</v>
      </c>
      <c r="D50" s="62">
        <f t="shared" ref="D50:D57" si="2">E40</f>
        <v>0</v>
      </c>
      <c r="E50" s="253" t="e">
        <f t="shared" ref="E50:E57" si="3">D50-C50</f>
        <v>#VALUE!</v>
      </c>
      <c r="F50" s="62">
        <f t="shared" ref="F50:F57" si="4">G40</f>
        <v>0</v>
      </c>
      <c r="G50" s="253" t="e">
        <f t="shared" ref="G50:G57" si="5">F50-C50</f>
        <v>#VALUE!</v>
      </c>
      <c r="H50" s="62"/>
      <c r="I50" s="825"/>
    </row>
    <row r="51" spans="1:9">
      <c r="A51" s="834"/>
      <c r="B51" s="25" t="s">
        <v>37</v>
      </c>
      <c r="C51" s="71" t="s">
        <v>625</v>
      </c>
      <c r="D51" s="62">
        <f t="shared" si="2"/>
        <v>0</v>
      </c>
      <c r="E51" s="253" t="e">
        <f t="shared" si="3"/>
        <v>#VALUE!</v>
      </c>
      <c r="F51" s="62">
        <f t="shared" si="4"/>
        <v>0</v>
      </c>
      <c r="G51" s="253" t="e">
        <f t="shared" si="5"/>
        <v>#VALUE!</v>
      </c>
      <c r="H51" s="62"/>
      <c r="I51" s="825"/>
    </row>
    <row r="52" spans="1:9">
      <c r="A52" s="834"/>
      <c r="B52" s="25" t="s">
        <v>897</v>
      </c>
      <c r="C52" s="71"/>
      <c r="D52" s="62">
        <f t="shared" si="2"/>
        <v>0</v>
      </c>
      <c r="E52" s="253">
        <f t="shared" si="3"/>
        <v>0</v>
      </c>
      <c r="F52" s="62">
        <f t="shared" si="4"/>
        <v>0</v>
      </c>
      <c r="G52" s="253">
        <f t="shared" si="5"/>
        <v>0</v>
      </c>
      <c r="H52" s="62"/>
      <c r="I52" s="825"/>
    </row>
    <row r="53" spans="1:9">
      <c r="A53" s="834"/>
      <c r="B53" s="25" t="s">
        <v>898</v>
      </c>
      <c r="C53" s="71" t="s">
        <v>625</v>
      </c>
      <c r="D53" s="62">
        <f t="shared" si="2"/>
        <v>0</v>
      </c>
      <c r="E53" s="253" t="e">
        <f t="shared" si="3"/>
        <v>#VALUE!</v>
      </c>
      <c r="F53" s="62">
        <f t="shared" si="4"/>
        <v>0</v>
      </c>
      <c r="G53" s="253" t="e">
        <f t="shared" si="5"/>
        <v>#VALUE!</v>
      </c>
      <c r="H53" s="62"/>
      <c r="I53" s="825"/>
    </row>
    <row r="54" spans="1:9" ht="17">
      <c r="A54" s="834"/>
      <c r="B54" s="25" t="s">
        <v>899</v>
      </c>
      <c r="C54" s="71">
        <v>290000000</v>
      </c>
      <c r="D54" s="62">
        <f t="shared" si="2"/>
        <v>202402000</v>
      </c>
      <c r="E54" s="253">
        <f t="shared" si="3"/>
        <v>-87598000</v>
      </c>
      <c r="F54" s="62">
        <f t="shared" si="4"/>
        <v>270402000</v>
      </c>
      <c r="G54" s="253">
        <f t="shared" si="5"/>
        <v>-19598000</v>
      </c>
      <c r="H54" s="62">
        <f>(C54+(C44*34))/34</f>
        <v>27086411.764705881</v>
      </c>
      <c r="I54" s="751">
        <f>H54/F44</f>
        <v>1.0217431823729115</v>
      </c>
    </row>
    <row r="55" spans="1:9">
      <c r="A55" s="834"/>
      <c r="B55" s="25" t="s">
        <v>900</v>
      </c>
      <c r="C55" s="71" t="s">
        <v>436</v>
      </c>
      <c r="D55" s="62">
        <f t="shared" si="2"/>
        <v>0</v>
      </c>
      <c r="E55" s="253" t="e">
        <f>D55-C55</f>
        <v>#VALUE!</v>
      </c>
      <c r="F55" s="62">
        <f t="shared" si="4"/>
        <v>0</v>
      </c>
      <c r="G55" s="253" t="e">
        <f t="shared" si="5"/>
        <v>#VALUE!</v>
      </c>
      <c r="H55" s="62"/>
      <c r="I55" s="31"/>
    </row>
    <row r="56" spans="1:9">
      <c r="A56" s="834"/>
      <c r="B56" s="25" t="s">
        <v>696</v>
      </c>
      <c r="C56" s="71" t="s">
        <v>436</v>
      </c>
      <c r="D56" s="62">
        <f t="shared" si="2"/>
        <v>0</v>
      </c>
      <c r="E56" s="253" t="e">
        <f t="shared" si="3"/>
        <v>#VALUE!</v>
      </c>
      <c r="F56" s="62">
        <f t="shared" si="4"/>
        <v>0</v>
      </c>
      <c r="G56" s="253" t="e">
        <f t="shared" si="5"/>
        <v>#VALUE!</v>
      </c>
      <c r="H56" s="62"/>
      <c r="I56" s="31"/>
    </row>
    <row r="57" spans="1:9" ht="16.5" thickBot="1">
      <c r="A57" s="836"/>
      <c r="B57" s="716" t="s">
        <v>71</v>
      </c>
      <c r="C57" s="74" t="s">
        <v>436</v>
      </c>
      <c r="D57" s="64">
        <f t="shared" si="2"/>
        <v>0</v>
      </c>
      <c r="E57" s="255" t="e">
        <f t="shared" si="3"/>
        <v>#VALUE!</v>
      </c>
      <c r="F57" s="64">
        <f t="shared" si="4"/>
        <v>0</v>
      </c>
      <c r="G57" s="255" t="e">
        <f t="shared" si="5"/>
        <v>#VALUE!</v>
      </c>
      <c r="H57" s="64"/>
      <c r="I57" s="66"/>
    </row>
    <row r="58" spans="1:9" ht="5" customHeight="1" thickBot="1">
      <c r="A58" s="632"/>
      <c r="C58" s="633"/>
      <c r="D58" s="68"/>
      <c r="E58" s="634"/>
      <c r="F58" s="68"/>
      <c r="G58" s="634"/>
      <c r="H58" s="68"/>
    </row>
    <row r="59" spans="1:9" s="76" customFormat="1">
      <c r="A59" s="833" t="s">
        <v>852</v>
      </c>
      <c r="B59" s="243" t="s">
        <v>599</v>
      </c>
      <c r="C59" s="242" t="s">
        <v>895</v>
      </c>
      <c r="D59" s="815" t="s">
        <v>600</v>
      </c>
      <c r="E59" s="816"/>
      <c r="F59" s="816"/>
      <c r="G59" s="816"/>
      <c r="H59" s="817"/>
    </row>
    <row r="60" spans="1:9" s="76" customFormat="1">
      <c r="A60" s="834"/>
      <c r="B60" s="165" t="s">
        <v>596</v>
      </c>
      <c r="C60" s="708">
        <v>1000</v>
      </c>
      <c r="D60" s="492"/>
      <c r="E60" s="1"/>
      <c r="F60" s="1"/>
      <c r="G60" s="1"/>
      <c r="H60" s="42"/>
    </row>
    <row r="61" spans="1:9" s="76" customFormat="1">
      <c r="A61" s="834"/>
      <c r="B61" s="165" t="s">
        <v>597</v>
      </c>
      <c r="C61" s="708">
        <v>1100</v>
      </c>
      <c r="D61" s="492"/>
      <c r="E61" s="1"/>
      <c r="F61" s="1"/>
      <c r="G61" s="1"/>
      <c r="H61" s="42"/>
    </row>
    <row r="62" spans="1:9" s="76" customFormat="1">
      <c r="A62" s="835"/>
      <c r="B62" s="165" t="s">
        <v>601</v>
      </c>
      <c r="C62" s="626">
        <v>1200</v>
      </c>
      <c r="D62" s="492"/>
      <c r="E62" s="1"/>
      <c r="F62" s="1"/>
      <c r="G62" s="1"/>
      <c r="H62" s="42"/>
    </row>
    <row r="63" spans="1:9" s="76" customFormat="1">
      <c r="A63" s="835"/>
      <c r="B63" s="165" t="s">
        <v>602</v>
      </c>
      <c r="C63" s="626">
        <v>1335</v>
      </c>
      <c r="D63" s="492"/>
      <c r="E63" s="1"/>
      <c r="F63" s="1"/>
      <c r="G63" s="1"/>
      <c r="H63" s="42"/>
    </row>
    <row r="64" spans="1:9" s="76" customFormat="1">
      <c r="A64" s="835"/>
      <c r="B64" s="165" t="s">
        <v>603</v>
      </c>
      <c r="C64" s="626">
        <v>2170</v>
      </c>
      <c r="D64" s="492"/>
      <c r="E64" s="1"/>
      <c r="F64" s="1"/>
      <c r="G64" s="1"/>
      <c r="H64" s="42"/>
    </row>
    <row r="65" spans="1:11" s="76" customFormat="1">
      <c r="A65" s="835"/>
      <c r="B65" s="165" t="s">
        <v>859</v>
      </c>
      <c r="C65" s="627">
        <v>2738</v>
      </c>
      <c r="D65" s="492"/>
      <c r="E65" s="1"/>
      <c r="F65" s="1"/>
      <c r="G65" s="1"/>
      <c r="H65" s="42"/>
    </row>
    <row r="66" spans="1:11" s="76" customFormat="1">
      <c r="A66" s="835"/>
      <c r="B66" s="165" t="s">
        <v>605</v>
      </c>
      <c r="C66" s="627">
        <f>H54/10000</f>
        <v>2708.6411764705881</v>
      </c>
      <c r="D66" s="492"/>
      <c r="E66" s="1"/>
      <c r="F66" s="1"/>
      <c r="G66" s="1"/>
      <c r="H66" s="42"/>
    </row>
    <row r="67" spans="1:11" s="76" customFormat="1">
      <c r="A67" s="835"/>
      <c r="B67" s="165" t="s">
        <v>606</v>
      </c>
      <c r="C67" s="627"/>
      <c r="D67" s="492"/>
      <c r="E67" s="1"/>
      <c r="F67" s="1"/>
      <c r="G67" s="1"/>
      <c r="H67" s="42"/>
    </row>
    <row r="68" spans="1:11" s="76" customFormat="1">
      <c r="A68" s="835"/>
      <c r="B68" s="165" t="s">
        <v>607</v>
      </c>
      <c r="C68" s="627"/>
      <c r="D68" s="492"/>
      <c r="E68" s="1"/>
      <c r="F68" s="1"/>
      <c r="G68" s="1"/>
      <c r="H68" s="42"/>
    </row>
    <row r="69" spans="1:11" s="76" customFormat="1">
      <c r="A69" s="835"/>
      <c r="B69" s="165" t="s">
        <v>608</v>
      </c>
      <c r="C69" s="627"/>
      <c r="D69" s="492"/>
      <c r="E69" s="1"/>
      <c r="F69" s="1"/>
      <c r="G69" s="1"/>
      <c r="H69" s="42"/>
    </row>
    <row r="70" spans="1:11" s="76" customFormat="1" ht="17.5" thickBot="1">
      <c r="A70" s="836"/>
      <c r="B70" s="490" t="s">
        <v>858</v>
      </c>
      <c r="C70" s="628"/>
      <c r="D70" s="493"/>
      <c r="E70" s="486"/>
      <c r="F70" s="486"/>
      <c r="G70" s="486"/>
      <c r="H70" s="487"/>
    </row>
    <row r="71" spans="1:11" ht="5" customHeight="1" thickBot="1"/>
    <row r="72" spans="1:11" ht="17">
      <c r="A72" s="826" t="s">
        <v>650</v>
      </c>
      <c r="B72" s="582" t="s">
        <v>947</v>
      </c>
      <c r="C72" s="565"/>
      <c r="D72" s="566"/>
      <c r="E72" s="559"/>
      <c r="F72" s="559"/>
      <c r="G72" s="559"/>
      <c r="H72" s="567"/>
      <c r="J72" s="635"/>
      <c r="K72" s="636"/>
    </row>
    <row r="73" spans="1:11" ht="17">
      <c r="A73" s="827"/>
      <c r="B73" s="206" t="s">
        <v>789</v>
      </c>
      <c r="C73" s="78"/>
      <c r="D73" s="79"/>
      <c r="E73" s="76"/>
      <c r="F73" s="76"/>
      <c r="G73" s="76"/>
      <c r="H73" s="114"/>
      <c r="J73" s="637"/>
      <c r="K73" s="636"/>
    </row>
    <row r="74" spans="1:11">
      <c r="A74" s="827"/>
      <c r="B74" s="206" t="s">
        <v>790</v>
      </c>
      <c r="C74" s="78"/>
      <c r="D74" s="79"/>
      <c r="E74" s="76"/>
      <c r="F74" s="76"/>
      <c r="G74" s="76"/>
      <c r="H74" s="114"/>
      <c r="J74" s="637"/>
      <c r="K74" s="638"/>
    </row>
    <row r="75" spans="1:11">
      <c r="A75" s="827"/>
      <c r="B75" s="206" t="s">
        <v>943</v>
      </c>
      <c r="C75" s="78"/>
      <c r="D75" s="79"/>
      <c r="E75" s="76"/>
      <c r="F75" s="76"/>
      <c r="G75" s="76"/>
      <c r="H75" s="114"/>
      <c r="J75" s="637"/>
      <c r="K75" s="638"/>
    </row>
    <row r="76" spans="1:11">
      <c r="A76" s="827"/>
      <c r="B76" s="206" t="s">
        <v>791</v>
      </c>
      <c r="C76" s="78"/>
      <c r="D76" s="79"/>
      <c r="E76" s="76"/>
      <c r="F76" s="76"/>
      <c r="G76" s="76"/>
      <c r="H76" s="114"/>
      <c r="J76" s="637"/>
      <c r="K76" s="638"/>
    </row>
    <row r="77" spans="1:11">
      <c r="A77" s="827"/>
      <c r="B77" s="206" t="s">
        <v>942</v>
      </c>
      <c r="C77" s="78"/>
      <c r="D77" s="79"/>
      <c r="E77" s="76"/>
      <c r="F77" s="76"/>
      <c r="G77" s="76"/>
      <c r="H77" s="114"/>
      <c r="J77" s="637"/>
      <c r="K77" s="638"/>
    </row>
    <row r="78" spans="1:11">
      <c r="A78" s="827"/>
      <c r="B78" s="206"/>
      <c r="C78" s="78"/>
      <c r="D78" s="79"/>
      <c r="E78" s="76"/>
      <c r="F78" s="76"/>
      <c r="G78" s="76"/>
      <c r="H78" s="114"/>
      <c r="J78" s="637"/>
      <c r="K78" s="638"/>
    </row>
    <row r="79" spans="1:11">
      <c r="A79" s="827"/>
      <c r="B79" s="206" t="s">
        <v>792</v>
      </c>
      <c r="C79" s="78"/>
      <c r="D79" s="79"/>
      <c r="E79" s="76"/>
      <c r="F79" s="76"/>
      <c r="G79" s="76"/>
      <c r="H79" s="114"/>
      <c r="J79" s="637"/>
      <c r="K79" s="638"/>
    </row>
    <row r="80" spans="1:11">
      <c r="A80" s="827"/>
      <c r="B80" s="206" t="s">
        <v>946</v>
      </c>
      <c r="C80" s="78"/>
      <c r="D80" s="79"/>
      <c r="E80" s="76"/>
      <c r="F80" s="76"/>
      <c r="G80" s="76"/>
      <c r="H80" s="114"/>
      <c r="J80" s="637"/>
      <c r="K80" s="638"/>
    </row>
    <row r="81" spans="1:11">
      <c r="A81" s="827"/>
      <c r="B81" s="206" t="s">
        <v>794</v>
      </c>
      <c r="C81" s="78"/>
      <c r="D81" s="79"/>
      <c r="E81" s="76"/>
      <c r="F81" s="76"/>
      <c r="G81" s="76"/>
      <c r="H81" s="114"/>
      <c r="J81" s="637"/>
      <c r="K81" s="638"/>
    </row>
    <row r="82" spans="1:11">
      <c r="A82" s="827"/>
      <c r="B82" s="608" t="s">
        <v>944</v>
      </c>
      <c r="C82" s="78"/>
      <c r="D82" s="79"/>
      <c r="E82" s="76"/>
      <c r="F82" s="76"/>
      <c r="G82" s="76"/>
      <c r="H82" s="114"/>
      <c r="J82" s="637"/>
      <c r="K82" s="638"/>
    </row>
    <row r="83" spans="1:11">
      <c r="A83" s="827"/>
      <c r="B83" s="206" t="s">
        <v>793</v>
      </c>
      <c r="C83" s="78"/>
      <c r="D83" s="79"/>
      <c r="E83" s="76"/>
      <c r="F83" s="76"/>
      <c r="G83" s="76"/>
      <c r="H83" s="114"/>
      <c r="J83" s="637"/>
      <c r="K83" s="638"/>
    </row>
    <row r="84" spans="1:11">
      <c r="A84" s="827"/>
      <c r="B84" s="206" t="s">
        <v>945</v>
      </c>
      <c r="C84" s="78"/>
      <c r="D84" s="79"/>
      <c r="E84" s="76"/>
      <c r="F84" s="76"/>
      <c r="G84" s="76"/>
      <c r="H84" s="114"/>
      <c r="J84" s="637"/>
      <c r="K84" s="638"/>
    </row>
    <row r="85" spans="1:11">
      <c r="A85" s="827"/>
      <c r="B85" s="206" t="s">
        <v>941</v>
      </c>
      <c r="C85" s="78"/>
      <c r="D85" s="79"/>
      <c r="E85" s="76"/>
      <c r="F85" s="76"/>
      <c r="G85" s="76"/>
      <c r="H85" s="114"/>
      <c r="J85" s="637"/>
      <c r="K85" s="638"/>
    </row>
    <row r="86" spans="1:11" ht="16.5" thickBot="1">
      <c r="A86" s="828"/>
      <c r="B86" s="568" t="s">
        <v>1090</v>
      </c>
      <c r="C86" s="569"/>
      <c r="D86" s="570"/>
      <c r="E86" s="571"/>
      <c r="F86" s="571"/>
      <c r="G86" s="571"/>
      <c r="H86" s="572"/>
      <c r="J86" s="589"/>
      <c r="K86" s="639"/>
    </row>
    <row r="128" spans="8:8" ht="17">
      <c r="H128"/>
    </row>
  </sheetData>
  <mergeCells count="15">
    <mergeCell ref="A59:A70"/>
    <mergeCell ref="D59:H59"/>
    <mergeCell ref="A72:A86"/>
    <mergeCell ref="A20:A28"/>
    <mergeCell ref="A30:A37"/>
    <mergeCell ref="A39:A47"/>
    <mergeCell ref="A49:A57"/>
    <mergeCell ref="I49:I53"/>
    <mergeCell ref="A1:H1"/>
    <mergeCell ref="A2:A18"/>
    <mergeCell ref="C4:D4"/>
    <mergeCell ref="D5:E5"/>
    <mergeCell ref="G5:H5"/>
    <mergeCell ref="G6:H6"/>
    <mergeCell ref="F8:H8"/>
  </mergeCells>
  <phoneticPr fontId="16" type="noConversion"/>
  <pageMargins left="0.69972223043441772" right="0.69972223043441772" top="0.75" bottom="0.75" header="0.30000001192092896" footer="0.30000001192092896"/>
  <pageSetup paperSize="9" scale="86" orientation="portrait" horizontalDpi="4294967293" verticalDpi="4294967293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rgb="FFFF0000"/>
  </sheetPr>
  <dimension ref="A1:I91"/>
  <sheetViews>
    <sheetView showGridLines="0" topLeftCell="A60" zoomScale="85" zoomScaleNormal="85" workbookViewId="0">
      <selection activeCell="C77" sqref="C77"/>
    </sheetView>
  </sheetViews>
  <sheetFormatPr defaultColWidth="13.4140625" defaultRowHeight="16"/>
  <cols>
    <col min="1" max="1" width="4.6640625" style="1" bestFit="1" customWidth="1"/>
    <col min="2" max="2" width="17.9140625" style="2" customWidth="1"/>
    <col min="3" max="3" width="24.08203125" style="3" customWidth="1"/>
    <col min="4" max="4" width="18.25" style="4" bestFit="1" customWidth="1"/>
    <col min="5" max="5" width="14.1640625" style="1" bestFit="1" customWidth="1"/>
    <col min="6" max="6" width="15.75" style="1" bestFit="1" customWidth="1"/>
    <col min="7" max="7" width="14" style="1" bestFit="1" customWidth="1"/>
    <col min="8" max="8" width="16.1640625" style="1" bestFit="1" customWidth="1"/>
    <col min="9" max="9" width="26.33203125" style="1" bestFit="1" customWidth="1"/>
    <col min="10" max="16384" width="13.4140625" style="1"/>
  </cols>
  <sheetData>
    <row r="1" spans="1:8" ht="31.5" customHeight="1">
      <c r="A1" s="870" t="s">
        <v>153</v>
      </c>
      <c r="B1" s="870"/>
      <c r="C1" s="870"/>
      <c r="D1" s="870"/>
      <c r="E1" s="870"/>
      <c r="F1" s="870"/>
      <c r="G1" s="870"/>
      <c r="H1" s="870"/>
    </row>
    <row r="2" spans="1:8">
      <c r="A2" s="875" t="s">
        <v>112</v>
      </c>
      <c r="B2" s="6" t="s">
        <v>420</v>
      </c>
      <c r="C2" s="7" t="s">
        <v>418</v>
      </c>
      <c r="D2" s="150" t="s">
        <v>146</v>
      </c>
      <c r="E2" s="9"/>
      <c r="F2" s="9"/>
      <c r="G2" s="9"/>
      <c r="H2" s="10"/>
    </row>
    <row r="3" spans="1:8">
      <c r="A3" s="876"/>
      <c r="B3" s="11" t="s">
        <v>471</v>
      </c>
      <c r="C3" s="856" t="s">
        <v>1131</v>
      </c>
      <c r="D3" s="857"/>
      <c r="E3" s="14"/>
      <c r="F3" s="14"/>
      <c r="G3" s="14"/>
      <c r="H3" s="15"/>
    </row>
    <row r="4" spans="1:8">
      <c r="A4" s="876"/>
      <c r="B4" s="11" t="s">
        <v>407</v>
      </c>
      <c r="C4" s="856" t="s">
        <v>237</v>
      </c>
      <c r="D4" s="857"/>
      <c r="E4" s="14"/>
      <c r="F4" s="14"/>
      <c r="G4" s="14"/>
      <c r="H4" s="15"/>
    </row>
    <row r="5" spans="1:8">
      <c r="A5" s="875"/>
      <c r="B5" s="11" t="s">
        <v>58</v>
      </c>
      <c r="C5" s="856" t="s">
        <v>143</v>
      </c>
      <c r="D5" s="928"/>
      <c r="E5" s="14"/>
      <c r="F5" s="14"/>
      <c r="G5" s="14"/>
      <c r="H5" s="15"/>
    </row>
    <row r="6" spans="1:8">
      <c r="A6" s="876"/>
      <c r="B6" s="11" t="s">
        <v>53</v>
      </c>
      <c r="C6" s="856"/>
      <c r="D6" s="857"/>
      <c r="E6" s="14"/>
      <c r="F6" s="14"/>
      <c r="G6" s="14"/>
      <c r="H6" s="15"/>
    </row>
    <row r="7" spans="1:8">
      <c r="A7" s="827"/>
      <c r="B7" s="16" t="s">
        <v>99</v>
      </c>
      <c r="C7" s="17">
        <v>20766.400000000001</v>
      </c>
      <c r="D7" s="858" t="s">
        <v>231</v>
      </c>
      <c r="E7" s="859"/>
      <c r="F7" s="374">
        <f>C7*0.3025/C9</f>
        <v>13.365608510638298</v>
      </c>
      <c r="G7" s="860" t="s">
        <v>524</v>
      </c>
      <c r="H7" s="861"/>
    </row>
    <row r="8" spans="1:8">
      <c r="A8" s="827"/>
      <c r="B8" s="16" t="s">
        <v>425</v>
      </c>
      <c r="C8" s="17">
        <v>28</v>
      </c>
      <c r="D8" s="18"/>
      <c r="E8" s="19"/>
      <c r="F8" s="19"/>
      <c r="G8" s="19"/>
      <c r="H8" s="20"/>
    </row>
    <row r="9" spans="1:8">
      <c r="A9" s="827"/>
      <c r="B9" s="16" t="s">
        <v>335</v>
      </c>
      <c r="C9" s="17">
        <v>470</v>
      </c>
      <c r="D9" s="21" t="s">
        <v>39</v>
      </c>
      <c r="E9" s="22">
        <f>C9/C11</f>
        <v>0.31105228325612178</v>
      </c>
      <c r="F9" s="18"/>
      <c r="G9" s="19"/>
      <c r="H9" s="20"/>
    </row>
    <row r="10" spans="1:8">
      <c r="A10" s="827"/>
      <c r="B10" s="16" t="s">
        <v>54</v>
      </c>
      <c r="C10" s="375">
        <f>C11-C9</f>
        <v>1041</v>
      </c>
      <c r="D10" s="21" t="s">
        <v>145</v>
      </c>
      <c r="E10" s="376">
        <f>C10/C11</f>
        <v>0.68894771674387822</v>
      </c>
      <c r="F10" s="863" t="s">
        <v>29</v>
      </c>
      <c r="G10" s="864"/>
      <c r="H10" s="865"/>
    </row>
    <row r="11" spans="1:8">
      <c r="A11" s="827"/>
      <c r="B11" s="16" t="s">
        <v>150</v>
      </c>
      <c r="C11" s="17">
        <v>1511</v>
      </c>
      <c r="D11" s="23" t="s">
        <v>511</v>
      </c>
      <c r="E11" s="19"/>
      <c r="F11" s="19"/>
      <c r="G11" s="19"/>
      <c r="H11" s="20"/>
    </row>
    <row r="12" spans="1:8">
      <c r="A12" s="827"/>
      <c r="B12" s="16" t="s">
        <v>427</v>
      </c>
      <c r="C12" s="24">
        <v>0.55730000000000002</v>
      </c>
      <c r="D12" s="25" t="s">
        <v>84</v>
      </c>
      <c r="E12" s="26">
        <f>C7*C12</f>
        <v>11573.114720000001</v>
      </c>
      <c r="F12" s="27" t="s">
        <v>41</v>
      </c>
      <c r="G12" s="28">
        <f>E13/E12</f>
        <v>15.246007536335902</v>
      </c>
      <c r="H12" s="29"/>
    </row>
    <row r="13" spans="1:8">
      <c r="A13" s="827"/>
      <c r="B13" s="16" t="s">
        <v>466</v>
      </c>
      <c r="C13" s="24">
        <v>8.496599999999999</v>
      </c>
      <c r="D13" s="25" t="s">
        <v>91</v>
      </c>
      <c r="E13" s="30">
        <f>C7*C13</f>
        <v>176443.79423999999</v>
      </c>
      <c r="F13" s="27" t="s">
        <v>209</v>
      </c>
      <c r="G13" s="28">
        <f>E13*76%</f>
        <v>134097.28362239999</v>
      </c>
      <c r="H13" s="31"/>
    </row>
    <row r="14" spans="1:8">
      <c r="A14" s="827"/>
      <c r="B14" s="16" t="s">
        <v>208</v>
      </c>
      <c r="C14" s="152" t="s">
        <v>15</v>
      </c>
      <c r="D14" s="18"/>
      <c r="E14" s="19"/>
      <c r="F14" s="858" t="s">
        <v>234</v>
      </c>
      <c r="G14" s="859"/>
      <c r="H14" s="55">
        <f>G13/C42</f>
        <v>1.2769832076868137</v>
      </c>
    </row>
    <row r="15" spans="1:8" ht="15" customHeight="1">
      <c r="A15" s="827"/>
      <c r="B15" s="16" t="s">
        <v>441</v>
      </c>
      <c r="C15" s="862" t="s">
        <v>1132</v>
      </c>
      <c r="D15" s="862"/>
      <c r="E15" s="19"/>
      <c r="F15" s="863" t="s">
        <v>392</v>
      </c>
      <c r="G15" s="864"/>
      <c r="H15" s="865"/>
    </row>
    <row r="16" spans="1:8">
      <c r="A16" s="827"/>
      <c r="B16" s="32" t="s">
        <v>87</v>
      </c>
      <c r="C16" s="152">
        <v>1.2255</v>
      </c>
      <c r="D16" s="153"/>
      <c r="E16" s="19"/>
      <c r="F16" s="19"/>
      <c r="G16" s="19"/>
      <c r="H16" s="20"/>
    </row>
    <row r="17" spans="1:8" ht="15" customHeight="1">
      <c r="A17" s="875"/>
      <c r="B17" s="844" t="s">
        <v>470</v>
      </c>
      <c r="C17" s="153"/>
      <c r="D17" s="154"/>
      <c r="E17" s="155"/>
      <c r="F17" s="155"/>
      <c r="G17" s="155"/>
      <c r="H17" s="156"/>
    </row>
    <row r="18" spans="1:8">
      <c r="A18" s="828"/>
      <c r="B18" s="844"/>
      <c r="C18" s="157"/>
      <c r="D18" s="36"/>
      <c r="E18" s="37"/>
      <c r="F18" s="37"/>
      <c r="G18" s="37"/>
      <c r="H18" s="38"/>
    </row>
    <row r="19" spans="1:8" ht="5.25" customHeight="1">
      <c r="A19" s="39"/>
      <c r="B19" s="40"/>
      <c r="C19" s="41"/>
      <c r="D19" s="41"/>
      <c r="H19" s="42"/>
    </row>
    <row r="20" spans="1:8">
      <c r="A20" s="875" t="s">
        <v>49</v>
      </c>
      <c r="B20" s="43" t="s">
        <v>174</v>
      </c>
      <c r="C20" s="44" t="s">
        <v>383</v>
      </c>
      <c r="D20" s="45"/>
      <c r="E20" s="9"/>
      <c r="F20" s="9"/>
      <c r="G20" s="9"/>
      <c r="H20" s="10"/>
    </row>
    <row r="21" spans="1:8">
      <c r="A21" s="827"/>
      <c r="B21" s="25" t="s">
        <v>65</v>
      </c>
      <c r="C21" s="46" t="s">
        <v>365</v>
      </c>
      <c r="D21" s="47"/>
      <c r="E21" s="19"/>
      <c r="F21" s="19"/>
      <c r="G21" s="19"/>
      <c r="H21" s="20"/>
    </row>
    <row r="22" spans="1:8">
      <c r="A22" s="875"/>
      <c r="B22" s="25" t="s">
        <v>95</v>
      </c>
      <c r="C22" s="25" t="s">
        <v>273</v>
      </c>
      <c r="D22" s="47"/>
      <c r="E22" s="19"/>
      <c r="F22" s="19"/>
      <c r="G22" s="19"/>
      <c r="H22" s="20"/>
    </row>
    <row r="23" spans="1:8">
      <c r="A23" s="827"/>
      <c r="B23" s="25" t="s">
        <v>482</v>
      </c>
      <c r="C23" s="25" t="s">
        <v>480</v>
      </c>
      <c r="D23" s="47"/>
      <c r="E23" s="19"/>
      <c r="F23" s="19"/>
      <c r="G23" s="19"/>
      <c r="H23" s="20"/>
    </row>
    <row r="24" spans="1:8">
      <c r="A24" s="827"/>
      <c r="B24" s="25" t="s">
        <v>481</v>
      </c>
      <c r="C24" s="25" t="s">
        <v>310</v>
      </c>
      <c r="D24" s="23"/>
      <c r="E24" s="19"/>
      <c r="F24" s="19"/>
      <c r="G24" s="19"/>
      <c r="H24" s="20"/>
    </row>
    <row r="25" spans="1:8">
      <c r="A25" s="827"/>
      <c r="B25" s="25" t="s">
        <v>177</v>
      </c>
      <c r="C25" s="25" t="s">
        <v>333</v>
      </c>
      <c r="D25" s="23"/>
      <c r="E25" s="19"/>
      <c r="F25" s="19"/>
      <c r="G25" s="19"/>
      <c r="H25" s="20"/>
    </row>
    <row r="26" spans="1:8">
      <c r="A26" s="827"/>
      <c r="B26" s="25" t="s">
        <v>167</v>
      </c>
      <c r="C26" s="25" t="s">
        <v>359</v>
      </c>
      <c r="D26" s="23"/>
      <c r="E26" s="19"/>
      <c r="F26" s="19"/>
      <c r="G26" s="19"/>
      <c r="H26" s="20"/>
    </row>
    <row r="27" spans="1:8">
      <c r="A27" s="827"/>
      <c r="B27" s="25" t="s">
        <v>447</v>
      </c>
      <c r="C27" s="25" t="s">
        <v>352</v>
      </c>
      <c r="D27" s="23"/>
      <c r="E27" s="19"/>
      <c r="F27" s="19"/>
      <c r="G27" s="19"/>
      <c r="H27" s="20"/>
    </row>
    <row r="28" spans="1:8">
      <c r="A28" s="828"/>
      <c r="B28" s="35"/>
      <c r="C28" s="35"/>
      <c r="D28" s="48"/>
      <c r="E28" s="37"/>
      <c r="F28" s="37"/>
      <c r="G28" s="37"/>
      <c r="H28" s="38"/>
    </row>
    <row r="29" spans="1:8" ht="5.25" customHeight="1">
      <c r="A29" s="39"/>
      <c r="B29" s="40"/>
      <c r="H29" s="42"/>
    </row>
    <row r="30" spans="1:8" s="5" customFormat="1" ht="13.5" customHeight="1">
      <c r="A30" s="875" t="s">
        <v>160</v>
      </c>
      <c r="B30" s="241" t="s">
        <v>101</v>
      </c>
      <c r="C30" s="242" t="s">
        <v>48</v>
      </c>
      <c r="D30" s="243" t="s">
        <v>125</v>
      </c>
      <c r="E30" s="243" t="s">
        <v>434</v>
      </c>
      <c r="F30" s="243" t="s">
        <v>414</v>
      </c>
      <c r="G30" s="369" t="s">
        <v>454</v>
      </c>
      <c r="H30" s="244" t="s">
        <v>470</v>
      </c>
    </row>
    <row r="31" spans="1:8">
      <c r="A31" s="827"/>
      <c r="B31" s="129" t="s">
        <v>376</v>
      </c>
      <c r="C31" s="53">
        <f>28*D31</f>
        <v>4928</v>
      </c>
      <c r="D31" s="17">
        <v>176</v>
      </c>
      <c r="E31" s="17" t="s">
        <v>436</v>
      </c>
      <c r="F31" s="17" t="s">
        <v>436</v>
      </c>
      <c r="G31" s="159">
        <f t="shared" ref="G31:G41" si="0">D31/$D$42</f>
        <v>0.11647915287888816</v>
      </c>
      <c r="H31" s="207"/>
    </row>
    <row r="32" spans="1:8">
      <c r="A32" s="875"/>
      <c r="B32" s="129" t="s">
        <v>370</v>
      </c>
      <c r="C32" s="53">
        <f>54*D32</f>
        <v>648</v>
      </c>
      <c r="D32" s="17">
        <v>12</v>
      </c>
      <c r="E32" s="17" t="s">
        <v>436</v>
      </c>
      <c r="F32" s="17" t="s">
        <v>436</v>
      </c>
      <c r="G32" s="159">
        <f t="shared" si="0"/>
        <v>7.9417604235605555E-3</v>
      </c>
      <c r="H32" s="207"/>
    </row>
    <row r="33" spans="1:8">
      <c r="A33" s="827"/>
      <c r="B33" s="129" t="s">
        <v>37</v>
      </c>
      <c r="C33" s="53">
        <f>59*D33</f>
        <v>10797</v>
      </c>
      <c r="D33" s="17">
        <v>183</v>
      </c>
      <c r="E33" s="17">
        <f>D33-F33</f>
        <v>0</v>
      </c>
      <c r="F33" s="160">
        <v>183</v>
      </c>
      <c r="G33" s="159">
        <f t="shared" si="0"/>
        <v>0.12111184645929848</v>
      </c>
      <c r="H33" s="207" t="s">
        <v>512</v>
      </c>
    </row>
    <row r="34" spans="1:8">
      <c r="A34" s="827"/>
      <c r="B34" s="129" t="s">
        <v>103</v>
      </c>
      <c r="C34" s="53">
        <f>59*D34</f>
        <v>10679</v>
      </c>
      <c r="D34" s="17">
        <v>181</v>
      </c>
      <c r="E34" s="17"/>
      <c r="F34" s="160">
        <v>12</v>
      </c>
      <c r="G34" s="159">
        <f t="shared" si="0"/>
        <v>0.11978821972203839</v>
      </c>
      <c r="H34" s="207" t="s">
        <v>513</v>
      </c>
    </row>
    <row r="35" spans="1:8">
      <c r="A35" s="827"/>
      <c r="B35" s="129" t="s">
        <v>520</v>
      </c>
      <c r="C35" s="53">
        <f>59*D35</f>
        <v>8142</v>
      </c>
      <c r="D35" s="17">
        <v>138</v>
      </c>
      <c r="E35" s="17"/>
      <c r="F35" s="160">
        <v>5</v>
      </c>
      <c r="G35" s="159">
        <f t="shared" si="0"/>
        <v>9.1330244870946389E-2</v>
      </c>
      <c r="H35" s="207" t="s">
        <v>514</v>
      </c>
    </row>
    <row r="36" spans="1:8">
      <c r="A36" s="875"/>
      <c r="B36" s="129" t="s">
        <v>521</v>
      </c>
      <c r="C36" s="53">
        <f>59*D36</f>
        <v>5369</v>
      </c>
      <c r="D36" s="17">
        <v>91</v>
      </c>
      <c r="E36" s="17"/>
      <c r="F36" s="160">
        <v>6</v>
      </c>
      <c r="G36" s="159">
        <f t="shared" si="0"/>
        <v>6.0225016545334215E-2</v>
      </c>
      <c r="H36" s="207" t="s">
        <v>515</v>
      </c>
    </row>
    <row r="37" spans="1:8">
      <c r="A37" s="827"/>
      <c r="B37" s="129" t="s">
        <v>86</v>
      </c>
      <c r="C37" s="53">
        <f>84*D37</f>
        <v>15120</v>
      </c>
      <c r="D37" s="17">
        <v>180</v>
      </c>
      <c r="E37" s="17">
        <f>D37-F37</f>
        <v>0</v>
      </c>
      <c r="F37" s="160">
        <v>180</v>
      </c>
      <c r="G37" s="159">
        <f t="shared" si="0"/>
        <v>0.11912640635340833</v>
      </c>
      <c r="H37" s="207" t="s">
        <v>512</v>
      </c>
    </row>
    <row r="38" spans="1:8">
      <c r="A38" s="827"/>
      <c r="B38" s="129" t="s">
        <v>155</v>
      </c>
      <c r="C38" s="53">
        <f>84*D38</f>
        <v>15456</v>
      </c>
      <c r="D38" s="17">
        <v>184</v>
      </c>
      <c r="E38" s="17"/>
      <c r="F38" s="160">
        <v>41</v>
      </c>
      <c r="G38" s="159">
        <f t="shared" si="0"/>
        <v>0.12177365982792852</v>
      </c>
      <c r="H38" s="207" t="s">
        <v>516</v>
      </c>
    </row>
    <row r="39" spans="1:8">
      <c r="A39" s="827"/>
      <c r="B39" s="129" t="s">
        <v>83</v>
      </c>
      <c r="C39" s="53">
        <f>84*D39</f>
        <v>11424</v>
      </c>
      <c r="D39" s="17">
        <v>136</v>
      </c>
      <c r="E39" s="17"/>
      <c r="F39" s="160">
        <v>4</v>
      </c>
      <c r="G39" s="159">
        <f t="shared" si="0"/>
        <v>9.0006618133686295E-2</v>
      </c>
      <c r="H39" s="207" t="s">
        <v>517</v>
      </c>
    </row>
    <row r="40" spans="1:8">
      <c r="A40" s="875"/>
      <c r="B40" s="129" t="s">
        <v>135</v>
      </c>
      <c r="C40" s="53">
        <f>84*D40</f>
        <v>3864</v>
      </c>
      <c r="D40" s="17">
        <v>46</v>
      </c>
      <c r="E40" s="17"/>
      <c r="F40" s="160">
        <v>13</v>
      </c>
      <c r="G40" s="159">
        <f t="shared" si="0"/>
        <v>3.0443414956982131E-2</v>
      </c>
      <c r="H40" s="207" t="s">
        <v>518</v>
      </c>
    </row>
    <row r="41" spans="1:8">
      <c r="A41" s="876"/>
      <c r="B41" s="129" t="s">
        <v>130</v>
      </c>
      <c r="C41" s="53">
        <f>101*D41</f>
        <v>18584</v>
      </c>
      <c r="D41" s="17">
        <v>184</v>
      </c>
      <c r="E41" s="17"/>
      <c r="F41" s="160">
        <v>22</v>
      </c>
      <c r="G41" s="159">
        <f t="shared" si="0"/>
        <v>0.12177365982792852</v>
      </c>
      <c r="H41" s="207" t="s">
        <v>519</v>
      </c>
    </row>
    <row r="42" spans="1:8">
      <c r="A42" s="828"/>
      <c r="B42" s="129" t="s">
        <v>462</v>
      </c>
      <c r="C42" s="57">
        <f>SUM(C31:C41)</f>
        <v>105011</v>
      </c>
      <c r="D42" s="57">
        <f>SUM(D31:D41)</f>
        <v>1511</v>
      </c>
      <c r="E42" s="57">
        <f>SUM(E33:E41)</f>
        <v>0</v>
      </c>
      <c r="F42" s="57">
        <f>SUM(F33:F41)</f>
        <v>466</v>
      </c>
      <c r="G42" s="135">
        <f>SUM(G31:G41)</f>
        <v>1</v>
      </c>
      <c r="H42" s="207" t="s">
        <v>519</v>
      </c>
    </row>
    <row r="43" spans="1:8" ht="4.5" customHeight="1">
      <c r="A43" s="39"/>
      <c r="B43" s="40"/>
      <c r="H43" s="42"/>
    </row>
    <row r="44" spans="1:8" s="2" customFormat="1">
      <c r="A44" s="879" t="s">
        <v>34</v>
      </c>
      <c r="B44" s="241" t="s">
        <v>360</v>
      </c>
      <c r="C44" s="243" t="s">
        <v>904</v>
      </c>
      <c r="D44" s="243" t="s">
        <v>905</v>
      </c>
      <c r="E44" s="243" t="s">
        <v>43</v>
      </c>
      <c r="F44" s="243" t="s">
        <v>906</v>
      </c>
      <c r="G44" s="245" t="s">
        <v>172</v>
      </c>
      <c r="H44" s="246" t="s">
        <v>470</v>
      </c>
    </row>
    <row r="45" spans="1:8" ht="16.5" customHeight="1">
      <c r="A45" s="880"/>
      <c r="B45" s="129" t="s">
        <v>376</v>
      </c>
      <c r="C45" s="62">
        <f>105754000/17</f>
        <v>6220823.5294117648</v>
      </c>
      <c r="D45" s="63"/>
      <c r="E45" s="252"/>
      <c r="F45" s="63"/>
      <c r="G45" s="252"/>
      <c r="H45" s="31"/>
    </row>
    <row r="46" spans="1:8" ht="16.5" customHeight="1">
      <c r="A46" s="879"/>
      <c r="B46" s="129" t="s">
        <v>370</v>
      </c>
      <c r="C46" s="62">
        <f>196035000/23</f>
        <v>8523260.8695652168</v>
      </c>
      <c r="D46" s="63"/>
      <c r="E46" s="252"/>
      <c r="F46" s="63"/>
      <c r="G46" s="252"/>
      <c r="H46" s="31"/>
    </row>
    <row r="47" spans="1:8" ht="16.5" customHeight="1">
      <c r="A47" s="880"/>
      <c r="B47" s="129" t="s">
        <v>37</v>
      </c>
      <c r="C47" s="62">
        <f>277618579/25</f>
        <v>11104743.16</v>
      </c>
      <c r="D47" s="63"/>
      <c r="E47" s="252">
        <f>(D47-C47)*25</f>
        <v>-277618579</v>
      </c>
      <c r="F47" s="63"/>
      <c r="G47" s="252">
        <f>(F47-C47)*25</f>
        <v>-277618579</v>
      </c>
      <c r="H47" s="31"/>
    </row>
    <row r="48" spans="1:8" ht="16.5" customHeight="1">
      <c r="A48" s="880"/>
      <c r="B48" s="129" t="s">
        <v>103</v>
      </c>
      <c r="C48" s="62">
        <f>284950000/25</f>
        <v>11398000</v>
      </c>
      <c r="D48" s="63"/>
      <c r="E48" s="252"/>
      <c r="F48" s="63"/>
      <c r="G48" s="252"/>
      <c r="H48" s="31"/>
    </row>
    <row r="49" spans="1:9" ht="16.5" customHeight="1">
      <c r="A49" s="880"/>
      <c r="B49" s="129" t="s">
        <v>520</v>
      </c>
      <c r="C49" s="62">
        <f>287700000/25</f>
        <v>11508000</v>
      </c>
      <c r="D49" s="63"/>
      <c r="E49" s="252"/>
      <c r="F49" s="63"/>
      <c r="G49" s="252"/>
      <c r="H49" s="31"/>
    </row>
    <row r="50" spans="1:9" ht="16.5" customHeight="1">
      <c r="A50" s="880"/>
      <c r="B50" s="129" t="s">
        <v>521</v>
      </c>
      <c r="C50" s="162">
        <f>276700000/25</f>
        <v>11068000</v>
      </c>
      <c r="D50" s="63"/>
      <c r="E50" s="252"/>
      <c r="F50" s="63"/>
      <c r="G50" s="252"/>
      <c r="H50" s="31"/>
    </row>
    <row r="51" spans="1:9" ht="16.5" customHeight="1">
      <c r="A51" s="880"/>
      <c r="B51" s="129" t="s">
        <v>86</v>
      </c>
      <c r="C51" s="725">
        <f>386555000/34</f>
        <v>11369264.705882354</v>
      </c>
      <c r="D51" s="730">
        <f>F51-2000000</f>
        <v>20020000</v>
      </c>
      <c r="E51" s="252">
        <f>(D51-C51)*34</f>
        <v>294125000</v>
      </c>
      <c r="F51" s="723">
        <v>22020000</v>
      </c>
      <c r="G51" s="252">
        <f>(F51-C51)*34</f>
        <v>362125000</v>
      </c>
      <c r="H51" s="31" t="s">
        <v>1167</v>
      </c>
    </row>
    <row r="52" spans="1:9" ht="16.5" customHeight="1">
      <c r="A52" s="880"/>
      <c r="B52" s="129" t="s">
        <v>155</v>
      </c>
      <c r="C52" s="162">
        <f>401950000/34</f>
        <v>11822058.823529411</v>
      </c>
      <c r="D52" s="63"/>
      <c r="E52" s="252"/>
      <c r="F52" s="63"/>
      <c r="G52" s="252"/>
      <c r="H52" s="31"/>
    </row>
    <row r="53" spans="1:9" ht="16.5" customHeight="1">
      <c r="A53" s="879" t="s">
        <v>393</v>
      </c>
      <c r="B53" s="129" t="s">
        <v>83</v>
      </c>
      <c r="C53" s="162">
        <f>3963000000/34</f>
        <v>116558823.52941176</v>
      </c>
      <c r="D53" s="63"/>
      <c r="E53" s="252"/>
      <c r="F53" s="63"/>
      <c r="G53" s="252"/>
      <c r="H53" s="163"/>
    </row>
    <row r="54" spans="1:9" ht="16.5" customHeight="1">
      <c r="A54" s="925"/>
      <c r="B54" s="129" t="s">
        <v>135</v>
      </c>
      <c r="C54" s="162">
        <f>383850000/34</f>
        <v>11289705.882352941</v>
      </c>
      <c r="D54" s="63"/>
      <c r="E54" s="252"/>
      <c r="F54" s="63"/>
      <c r="G54" s="252"/>
      <c r="H54" s="163"/>
    </row>
    <row r="55" spans="1:9" ht="16.5" customHeight="1">
      <c r="A55" s="925"/>
      <c r="B55" s="129" t="s">
        <v>130</v>
      </c>
      <c r="C55" s="162">
        <f>455650000/39</f>
        <v>11683333.333333334</v>
      </c>
      <c r="D55" s="174"/>
      <c r="E55" s="252"/>
      <c r="F55" s="174"/>
      <c r="G55" s="252"/>
      <c r="H55" s="163"/>
    </row>
    <row r="56" spans="1:9" ht="5.25" customHeight="1" thickBot="1">
      <c r="A56" s="209"/>
      <c r="B56" s="210"/>
      <c r="C56" s="211"/>
      <c r="D56" s="211"/>
      <c r="E56" s="211"/>
      <c r="F56" s="211"/>
      <c r="G56" s="211"/>
      <c r="H56" s="212"/>
    </row>
    <row r="57" spans="1:9" ht="62.5" customHeight="1">
      <c r="A57" s="921" t="s">
        <v>286</v>
      </c>
      <c r="B57" s="243" t="s">
        <v>101</v>
      </c>
      <c r="C57" s="508" t="s">
        <v>1395</v>
      </c>
      <c r="D57" s="247" t="s">
        <v>247</v>
      </c>
      <c r="E57" s="247" t="s">
        <v>322</v>
      </c>
      <c r="F57" s="247" t="s">
        <v>222</v>
      </c>
      <c r="G57" s="247" t="s">
        <v>367</v>
      </c>
      <c r="H57" s="243" t="s">
        <v>1136</v>
      </c>
      <c r="I57" s="824" t="s">
        <v>1206</v>
      </c>
    </row>
    <row r="58" spans="1:9">
      <c r="A58" s="922"/>
      <c r="B58" s="213" t="s">
        <v>376</v>
      </c>
      <c r="C58" s="62" t="s">
        <v>436</v>
      </c>
      <c r="D58" s="63">
        <f t="shared" ref="D58:D68" si="1">E45</f>
        <v>0</v>
      </c>
      <c r="E58" s="252" t="e">
        <f t="shared" ref="E58:E68" si="2">D58-C58</f>
        <v>#VALUE!</v>
      </c>
      <c r="F58" s="63">
        <f t="shared" ref="F58:F68" si="3">G45</f>
        <v>0</v>
      </c>
      <c r="G58" s="252" t="e">
        <f t="shared" ref="G58:G68" si="4">F58-C58</f>
        <v>#VALUE!</v>
      </c>
      <c r="H58" s="54"/>
      <c r="I58" s="825"/>
    </row>
    <row r="59" spans="1:9">
      <c r="A59" s="922"/>
      <c r="B59" s="213" t="s">
        <v>370</v>
      </c>
      <c r="C59" s="62" t="s">
        <v>436</v>
      </c>
      <c r="D59" s="63">
        <f t="shared" si="1"/>
        <v>0</v>
      </c>
      <c r="E59" s="252" t="e">
        <f t="shared" si="2"/>
        <v>#VALUE!</v>
      </c>
      <c r="F59" s="63">
        <f t="shared" si="3"/>
        <v>0</v>
      </c>
      <c r="G59" s="252" t="e">
        <f t="shared" si="4"/>
        <v>#VALUE!</v>
      </c>
      <c r="H59" s="54"/>
      <c r="I59" s="825"/>
    </row>
    <row r="60" spans="1:9">
      <c r="A60" s="922"/>
      <c r="B60" s="25" t="s">
        <v>88</v>
      </c>
      <c r="C60" s="62" t="s">
        <v>1165</v>
      </c>
      <c r="D60" s="63">
        <f t="shared" si="1"/>
        <v>-277618579</v>
      </c>
      <c r="E60" s="252" t="e">
        <f t="shared" si="2"/>
        <v>#VALUE!</v>
      </c>
      <c r="F60" s="63">
        <f t="shared" si="3"/>
        <v>-277618579</v>
      </c>
      <c r="G60" s="252" t="e">
        <f t="shared" si="4"/>
        <v>#VALUE!</v>
      </c>
      <c r="H60" s="54"/>
      <c r="I60" s="825"/>
    </row>
    <row r="61" spans="1:9">
      <c r="A61" s="922"/>
      <c r="B61" s="25" t="s">
        <v>61</v>
      </c>
      <c r="C61" s="62" t="s">
        <v>436</v>
      </c>
      <c r="D61" s="63">
        <f t="shared" si="1"/>
        <v>0</v>
      </c>
      <c r="E61" s="252" t="e">
        <f t="shared" si="2"/>
        <v>#VALUE!</v>
      </c>
      <c r="F61" s="63">
        <f t="shared" si="3"/>
        <v>0</v>
      </c>
      <c r="G61" s="252" t="e">
        <f t="shared" si="4"/>
        <v>#VALUE!</v>
      </c>
      <c r="H61" s="54"/>
      <c r="I61" s="825"/>
    </row>
    <row r="62" spans="1:9">
      <c r="A62" s="922"/>
      <c r="B62" s="25" t="s">
        <v>66</v>
      </c>
      <c r="C62" s="62" t="s">
        <v>436</v>
      </c>
      <c r="D62" s="63">
        <f t="shared" si="1"/>
        <v>0</v>
      </c>
      <c r="E62" s="252" t="e">
        <f t="shared" si="2"/>
        <v>#VALUE!</v>
      </c>
      <c r="F62" s="63">
        <f t="shared" si="3"/>
        <v>0</v>
      </c>
      <c r="G62" s="252" t="e">
        <f t="shared" si="4"/>
        <v>#VALUE!</v>
      </c>
      <c r="H62" s="54"/>
      <c r="I62" s="825"/>
    </row>
    <row r="63" spans="1:9">
      <c r="A63" s="922"/>
      <c r="B63" s="25" t="s">
        <v>50</v>
      </c>
      <c r="C63" s="62" t="s">
        <v>436</v>
      </c>
      <c r="D63" s="63">
        <f t="shared" si="1"/>
        <v>0</v>
      </c>
      <c r="E63" s="252" t="e">
        <f t="shared" si="2"/>
        <v>#VALUE!</v>
      </c>
      <c r="F63" s="63">
        <f t="shared" si="3"/>
        <v>0</v>
      </c>
      <c r="G63" s="252" t="e">
        <f t="shared" si="4"/>
        <v>#VALUE!</v>
      </c>
      <c r="H63" s="54"/>
      <c r="I63" s="825"/>
    </row>
    <row r="64" spans="1:9" ht="17">
      <c r="A64" s="922"/>
      <c r="B64" s="213" t="s">
        <v>86</v>
      </c>
      <c r="C64" s="62">
        <v>620000000</v>
      </c>
      <c r="D64" s="63">
        <f t="shared" si="1"/>
        <v>294125000</v>
      </c>
      <c r="E64" s="252">
        <f t="shared" si="2"/>
        <v>-325875000</v>
      </c>
      <c r="F64" s="63">
        <f t="shared" si="3"/>
        <v>362125000</v>
      </c>
      <c r="G64" s="252">
        <f t="shared" si="4"/>
        <v>-257875000</v>
      </c>
      <c r="H64" s="62">
        <f>(C64+(C51*34))/34</f>
        <v>29604558.823529411</v>
      </c>
      <c r="I64" s="751">
        <f>H64/F51</f>
        <v>1.3444395469359405</v>
      </c>
    </row>
    <row r="65" spans="1:9">
      <c r="A65" s="922"/>
      <c r="B65" s="213" t="s">
        <v>155</v>
      </c>
      <c r="C65" s="62" t="s">
        <v>436</v>
      </c>
      <c r="D65" s="63">
        <f t="shared" si="1"/>
        <v>0</v>
      </c>
      <c r="E65" s="252" t="e">
        <f t="shared" si="2"/>
        <v>#VALUE!</v>
      </c>
      <c r="F65" s="63">
        <f t="shared" si="3"/>
        <v>0</v>
      </c>
      <c r="G65" s="252" t="e">
        <f t="shared" si="4"/>
        <v>#VALUE!</v>
      </c>
      <c r="H65" s="54"/>
      <c r="I65" s="31"/>
    </row>
    <row r="66" spans="1:9">
      <c r="A66" s="922"/>
      <c r="B66" s="213" t="s">
        <v>83</v>
      </c>
      <c r="C66" s="62" t="s">
        <v>436</v>
      </c>
      <c r="D66" s="63">
        <f t="shared" si="1"/>
        <v>0</v>
      </c>
      <c r="E66" s="252" t="e">
        <f t="shared" si="2"/>
        <v>#VALUE!</v>
      </c>
      <c r="F66" s="63">
        <f t="shared" si="3"/>
        <v>0</v>
      </c>
      <c r="G66" s="252" t="e">
        <f t="shared" si="4"/>
        <v>#VALUE!</v>
      </c>
      <c r="H66" s="54"/>
      <c r="I66" s="31"/>
    </row>
    <row r="67" spans="1:9">
      <c r="A67" s="922"/>
      <c r="B67" s="213" t="s">
        <v>135</v>
      </c>
      <c r="C67" s="62" t="s">
        <v>436</v>
      </c>
      <c r="D67" s="63">
        <f t="shared" si="1"/>
        <v>0</v>
      </c>
      <c r="E67" s="252" t="e">
        <f t="shared" si="2"/>
        <v>#VALUE!</v>
      </c>
      <c r="F67" s="63">
        <f t="shared" si="3"/>
        <v>0</v>
      </c>
      <c r="G67" s="252" t="e">
        <f t="shared" si="4"/>
        <v>#VALUE!</v>
      </c>
      <c r="H67" s="54"/>
      <c r="I67" s="31"/>
    </row>
    <row r="68" spans="1:9" ht="16.5" thickBot="1">
      <c r="A68" s="923"/>
      <c r="B68" s="175" t="s">
        <v>130</v>
      </c>
      <c r="C68" s="214" t="s">
        <v>436</v>
      </c>
      <c r="D68" s="65">
        <f t="shared" si="1"/>
        <v>0</v>
      </c>
      <c r="E68" s="366" t="e">
        <f t="shared" si="2"/>
        <v>#VALUE!</v>
      </c>
      <c r="F68" s="65">
        <f t="shared" si="3"/>
        <v>0</v>
      </c>
      <c r="G68" s="366" t="e">
        <f t="shared" si="4"/>
        <v>#VALUE!</v>
      </c>
      <c r="H68" s="619"/>
      <c r="I68" s="66"/>
    </row>
    <row r="69" spans="1:9" s="76" customFormat="1">
      <c r="A69" s="929" t="s">
        <v>598</v>
      </c>
      <c r="B69" s="741" t="s">
        <v>599</v>
      </c>
      <c r="C69" s="738" t="s">
        <v>857</v>
      </c>
      <c r="D69" s="930" t="s">
        <v>600</v>
      </c>
      <c r="E69" s="931"/>
      <c r="F69" s="931"/>
      <c r="G69" s="931"/>
      <c r="H69" s="932"/>
    </row>
    <row r="70" spans="1:9" s="76" customFormat="1">
      <c r="A70" s="834"/>
      <c r="B70" s="165" t="s">
        <v>1130</v>
      </c>
      <c r="C70" s="708">
        <v>1400</v>
      </c>
      <c r="D70" s="492"/>
      <c r="E70" s="1"/>
      <c r="F70" s="1"/>
      <c r="G70" s="1"/>
      <c r="H70" s="42"/>
    </row>
    <row r="71" spans="1:9" s="76" customFormat="1">
      <c r="A71" s="834"/>
      <c r="B71" s="165" t="s">
        <v>597</v>
      </c>
      <c r="C71" s="708">
        <v>1500</v>
      </c>
      <c r="D71" s="492"/>
      <c r="E71" s="1"/>
      <c r="F71" s="1"/>
      <c r="G71" s="1"/>
      <c r="H71" s="42"/>
    </row>
    <row r="72" spans="1:9" s="76" customFormat="1">
      <c r="A72" s="835"/>
      <c r="B72" s="165" t="s">
        <v>601</v>
      </c>
      <c r="C72" s="626">
        <v>1600</v>
      </c>
      <c r="D72" s="492"/>
      <c r="E72" s="1"/>
      <c r="F72" s="1"/>
      <c r="G72" s="1"/>
      <c r="H72" s="42"/>
    </row>
    <row r="73" spans="1:9" s="76" customFormat="1">
      <c r="A73" s="835"/>
      <c r="B73" s="165" t="s">
        <v>602</v>
      </c>
      <c r="C73" s="626">
        <v>1900</v>
      </c>
      <c r="D73" s="492"/>
      <c r="E73" s="1"/>
      <c r="F73" s="1"/>
      <c r="G73" s="1"/>
      <c r="H73" s="42"/>
    </row>
    <row r="74" spans="1:9" s="76" customFormat="1">
      <c r="A74" s="835"/>
      <c r="B74" s="165" t="s">
        <v>603</v>
      </c>
      <c r="C74" s="626">
        <v>2300</v>
      </c>
      <c r="D74" s="492"/>
      <c r="E74" s="1"/>
      <c r="F74" s="1"/>
      <c r="G74" s="1"/>
      <c r="H74" s="42"/>
    </row>
    <row r="75" spans="1:9" s="76" customFormat="1">
      <c r="A75" s="835"/>
      <c r="B75" s="165" t="s">
        <v>604</v>
      </c>
      <c r="C75" s="627">
        <v>2960</v>
      </c>
      <c r="D75" s="492"/>
      <c r="E75" s="1"/>
      <c r="F75" s="1"/>
      <c r="G75" s="1"/>
      <c r="H75" s="42"/>
    </row>
    <row r="76" spans="1:9" s="76" customFormat="1">
      <c r="A76" s="835"/>
      <c r="B76" s="165" t="s">
        <v>605</v>
      </c>
      <c r="C76" s="627">
        <f>H64/10000</f>
        <v>2960.455882352941</v>
      </c>
      <c r="D76" s="492"/>
      <c r="E76" s="1"/>
      <c r="F76" s="1"/>
      <c r="G76" s="1"/>
      <c r="H76" s="42"/>
    </row>
    <row r="77" spans="1:9" s="76" customFormat="1">
      <c r="A77" s="835"/>
      <c r="B77" s="165" t="s">
        <v>606</v>
      </c>
      <c r="C77" s="627"/>
      <c r="D77" s="492"/>
      <c r="E77" s="1"/>
      <c r="F77" s="1"/>
      <c r="G77" s="1"/>
      <c r="H77" s="42"/>
    </row>
    <row r="78" spans="1:9" s="76" customFormat="1">
      <c r="A78" s="835"/>
      <c r="B78" s="165" t="s">
        <v>607</v>
      </c>
      <c r="C78" s="627"/>
      <c r="D78" s="492"/>
      <c r="E78" s="1"/>
      <c r="F78" s="1"/>
      <c r="G78" s="1"/>
      <c r="H78" s="42"/>
    </row>
    <row r="79" spans="1:9" s="76" customFormat="1">
      <c r="A79" s="835"/>
      <c r="B79" s="165" t="s">
        <v>608</v>
      </c>
      <c r="C79" s="627"/>
      <c r="D79" s="492"/>
      <c r="E79" s="1"/>
      <c r="F79" s="1"/>
      <c r="G79" s="1"/>
      <c r="H79" s="42"/>
    </row>
    <row r="80" spans="1:9" s="76" customFormat="1" ht="17.5" thickBot="1">
      <c r="A80" s="836"/>
      <c r="B80" s="490" t="s">
        <v>853</v>
      </c>
      <c r="C80" s="628"/>
      <c r="D80" s="493"/>
      <c r="E80" s="486"/>
      <c r="F80" s="486"/>
      <c r="G80" s="486"/>
      <c r="H80" s="487"/>
    </row>
    <row r="81" spans="1:8" s="76" customFormat="1">
      <c r="A81" s="826" t="s">
        <v>650</v>
      </c>
      <c r="B81" s="564"/>
      <c r="C81" s="565"/>
      <c r="D81" s="566"/>
      <c r="E81" s="559"/>
      <c r="F81" s="559"/>
      <c r="G81" s="559"/>
      <c r="H81" s="567"/>
    </row>
    <row r="82" spans="1:8" s="76" customFormat="1" ht="15" customHeight="1">
      <c r="A82" s="827"/>
      <c r="B82" s="206"/>
      <c r="C82" s="78"/>
      <c r="D82" s="79"/>
      <c r="H82" s="114"/>
    </row>
    <row r="83" spans="1:8" s="76" customFormat="1" ht="15" customHeight="1">
      <c r="A83" s="827"/>
      <c r="B83" s="206"/>
      <c r="C83" s="78"/>
      <c r="D83" s="79"/>
      <c r="H83" s="114"/>
    </row>
    <row r="84" spans="1:8" s="76" customFormat="1" ht="15" customHeight="1">
      <c r="A84" s="827"/>
      <c r="B84" s="206"/>
      <c r="C84" s="78"/>
      <c r="D84" s="79"/>
      <c r="H84" s="114"/>
    </row>
    <row r="85" spans="1:8" s="76" customFormat="1" ht="15" customHeight="1">
      <c r="A85" s="827"/>
      <c r="B85" s="206"/>
      <c r="C85" s="78"/>
      <c r="D85" s="79"/>
      <c r="H85" s="114"/>
    </row>
    <row r="86" spans="1:8" s="76" customFormat="1">
      <c r="A86" s="827"/>
      <c r="B86" s="206"/>
      <c r="C86" s="78"/>
      <c r="D86" s="79"/>
      <c r="H86" s="114"/>
    </row>
    <row r="87" spans="1:8" s="76" customFormat="1">
      <c r="A87" s="827"/>
      <c r="B87" s="206"/>
      <c r="C87" s="78"/>
      <c r="D87" s="79"/>
      <c r="H87" s="114"/>
    </row>
    <row r="88" spans="1:8" s="76" customFormat="1">
      <c r="A88" s="827"/>
      <c r="B88" s="206"/>
      <c r="C88" s="78"/>
      <c r="D88" s="79"/>
      <c r="H88" s="114"/>
    </row>
    <row r="89" spans="1:8" s="76" customFormat="1">
      <c r="A89" s="827"/>
      <c r="B89" s="206"/>
      <c r="C89" s="78"/>
      <c r="D89" s="79"/>
      <c r="H89" s="114"/>
    </row>
    <row r="90" spans="1:8" s="76" customFormat="1">
      <c r="A90" s="827"/>
      <c r="B90" s="608"/>
      <c r="C90" s="78"/>
      <c r="D90" s="79"/>
      <c r="H90" s="114"/>
    </row>
    <row r="91" spans="1:8" s="76" customFormat="1" ht="16.5" thickBot="1">
      <c r="A91" s="828"/>
      <c r="B91" s="568"/>
      <c r="C91" s="569"/>
      <c r="D91" s="570"/>
      <c r="E91" s="571"/>
      <c r="F91" s="571"/>
      <c r="G91" s="571"/>
      <c r="H91" s="572"/>
    </row>
  </sheetData>
  <mergeCells count="21">
    <mergeCell ref="A20:A28"/>
    <mergeCell ref="A30:A42"/>
    <mergeCell ref="A44:A55"/>
    <mergeCell ref="A1:H1"/>
    <mergeCell ref="A2:A18"/>
    <mergeCell ref="C4:D4"/>
    <mergeCell ref="D7:E7"/>
    <mergeCell ref="G7:H7"/>
    <mergeCell ref="C15:D15"/>
    <mergeCell ref="B17:B18"/>
    <mergeCell ref="C5:D5"/>
    <mergeCell ref="C6:D6"/>
    <mergeCell ref="C3:D3"/>
    <mergeCell ref="F14:G14"/>
    <mergeCell ref="F15:H15"/>
    <mergeCell ref="F10:H10"/>
    <mergeCell ref="I57:I63"/>
    <mergeCell ref="A69:A80"/>
    <mergeCell ref="D69:H69"/>
    <mergeCell ref="A81:A91"/>
    <mergeCell ref="A57:A68"/>
  </mergeCells>
  <phoneticPr fontId="16" type="noConversion"/>
  <pageMargins left="0.69972223043441772" right="0.69972223043441772" top="0.75" bottom="0.75" header="0.30000001192092896" footer="0.30000001192092896"/>
  <pageSetup paperSize="9" scale="70" orientation="portrait" horizontalDpi="4294967293" verticalDpi="4294967293" r:id="rId1"/>
  <rowBreaks count="1" manualBreakCount="1">
    <brk id="68" max="1048575" man="1"/>
  </rowBreaks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90"/>
  <sheetViews>
    <sheetView topLeftCell="A64" zoomScale="70" zoomScaleNormal="70" workbookViewId="0">
      <selection activeCell="I78" sqref="I78"/>
    </sheetView>
  </sheetViews>
  <sheetFormatPr defaultColWidth="13.4140625" defaultRowHeight="16"/>
  <cols>
    <col min="1" max="1" width="8.9140625" style="380" customWidth="1"/>
    <col min="2" max="2" width="18.5" style="436" bestFit="1" customWidth="1"/>
    <col min="3" max="3" width="25.9140625" style="78" customWidth="1"/>
    <col min="4" max="4" width="26" style="427" bestFit="1" customWidth="1"/>
    <col min="5" max="5" width="13.9140625" style="380" bestFit="1" customWidth="1"/>
    <col min="6" max="6" width="15.9140625" style="380" bestFit="1" customWidth="1"/>
    <col min="7" max="7" width="14" style="380" bestFit="1" customWidth="1"/>
    <col min="8" max="8" width="25.1640625" style="380" bestFit="1" customWidth="1"/>
    <col min="9" max="9" width="27.25" style="380" bestFit="1" customWidth="1"/>
    <col min="10" max="12" width="13.4140625" style="380" bestFit="1" customWidth="1"/>
    <col min="13" max="16384" width="13.4140625" style="380"/>
  </cols>
  <sheetData>
    <row r="1" spans="1:8" ht="26" customHeight="1" thickBot="1">
      <c r="A1" s="974" t="s">
        <v>546</v>
      </c>
      <c r="B1" s="974"/>
      <c r="C1" s="974"/>
      <c r="D1" s="974"/>
      <c r="E1" s="974"/>
      <c r="F1" s="974"/>
      <c r="G1" s="974"/>
      <c r="H1" s="974"/>
    </row>
    <row r="2" spans="1:8">
      <c r="A2" s="970" t="s">
        <v>112</v>
      </c>
      <c r="B2" s="381" t="s">
        <v>420</v>
      </c>
      <c r="C2" s="977" t="s">
        <v>1115</v>
      </c>
      <c r="D2" s="977"/>
      <c r="E2" s="977"/>
      <c r="F2" s="977"/>
      <c r="G2" s="977"/>
      <c r="H2" s="977"/>
    </row>
    <row r="3" spans="1:8">
      <c r="A3" s="973"/>
      <c r="B3" s="382" t="s">
        <v>471</v>
      </c>
      <c r="C3" s="978" t="s">
        <v>547</v>
      </c>
      <c r="D3" s="978"/>
      <c r="E3" s="978"/>
      <c r="F3" s="978"/>
      <c r="G3" s="978"/>
      <c r="H3" s="978"/>
    </row>
    <row r="4" spans="1:8" ht="16.5" thickBot="1">
      <c r="A4" s="973"/>
      <c r="B4" s="382" t="s">
        <v>407</v>
      </c>
      <c r="C4" s="383" t="s">
        <v>548</v>
      </c>
      <c r="D4" s="384"/>
      <c r="E4" s="385"/>
      <c r="F4" s="385"/>
      <c r="G4" s="385"/>
      <c r="H4" s="386"/>
    </row>
    <row r="5" spans="1:8">
      <c r="A5" s="970"/>
      <c r="B5" s="382" t="s">
        <v>58</v>
      </c>
      <c r="C5" s="979" t="s">
        <v>549</v>
      </c>
      <c r="D5" s="980"/>
      <c r="E5" s="387"/>
      <c r="F5" s="387"/>
      <c r="G5" s="387"/>
      <c r="H5" s="388"/>
    </row>
    <row r="6" spans="1:8">
      <c r="A6" s="973"/>
      <c r="B6" s="382" t="s">
        <v>53</v>
      </c>
      <c r="C6" s="979">
        <v>68160</v>
      </c>
      <c r="D6" s="981"/>
      <c r="E6" s="387"/>
      <c r="F6" s="387"/>
      <c r="G6" s="387"/>
      <c r="H6" s="388"/>
    </row>
    <row r="7" spans="1:8">
      <c r="A7" s="975"/>
      <c r="B7" s="389" t="s">
        <v>99</v>
      </c>
      <c r="C7" s="390">
        <v>43506</v>
      </c>
      <c r="D7" s="982" t="s">
        <v>231</v>
      </c>
      <c r="E7" s="983"/>
      <c r="F7" s="391"/>
      <c r="G7" s="984" t="s">
        <v>550</v>
      </c>
      <c r="H7" s="985"/>
    </row>
    <row r="8" spans="1:8">
      <c r="A8" s="975"/>
      <c r="B8" s="389" t="s">
        <v>425</v>
      </c>
      <c r="C8" s="390">
        <v>7</v>
      </c>
      <c r="D8" s="392"/>
      <c r="E8" s="385"/>
      <c r="F8" s="385"/>
      <c r="G8" s="385"/>
      <c r="H8" s="386"/>
    </row>
    <row r="9" spans="1:8">
      <c r="A9" s="975"/>
      <c r="B9" s="389" t="s">
        <v>335</v>
      </c>
      <c r="C9" s="390">
        <v>801</v>
      </c>
      <c r="D9" s="89" t="s">
        <v>39</v>
      </c>
      <c r="E9" s="90">
        <f>C9/C11</f>
        <v>0.3588709677419355</v>
      </c>
      <c r="F9" s="392"/>
      <c r="G9" s="385"/>
      <c r="H9" s="386"/>
    </row>
    <row r="10" spans="1:8">
      <c r="A10" s="975"/>
      <c r="B10" s="389" t="s">
        <v>54</v>
      </c>
      <c r="C10" s="393">
        <f>C11-C9</f>
        <v>1431</v>
      </c>
      <c r="D10" s="89" t="s">
        <v>145</v>
      </c>
      <c r="E10" s="361">
        <f>C10/C11</f>
        <v>0.6411290322580645</v>
      </c>
      <c r="F10" s="986" t="s">
        <v>29</v>
      </c>
      <c r="G10" s="987"/>
      <c r="H10" s="988"/>
    </row>
    <row r="11" spans="1:8">
      <c r="A11" s="975"/>
      <c r="B11" s="389" t="s">
        <v>150</v>
      </c>
      <c r="C11" s="390">
        <v>2232</v>
      </c>
      <c r="D11" s="394" t="s">
        <v>551</v>
      </c>
      <c r="E11" s="385"/>
      <c r="F11" s="385"/>
      <c r="G11" s="385"/>
      <c r="H11" s="386"/>
    </row>
    <row r="12" spans="1:8">
      <c r="A12" s="975"/>
      <c r="B12" s="389" t="s">
        <v>427</v>
      </c>
      <c r="C12" s="92">
        <v>0.59279999999999999</v>
      </c>
      <c r="D12" s="395" t="s">
        <v>84</v>
      </c>
      <c r="E12" s="94">
        <f>C7*C12</f>
        <v>25790.356800000001</v>
      </c>
      <c r="F12" s="396" t="s">
        <v>41</v>
      </c>
      <c r="G12" s="397">
        <f>E13/E12</f>
        <v>13.15047233468286</v>
      </c>
      <c r="H12" s="398"/>
    </row>
    <row r="13" spans="1:8">
      <c r="A13" s="975"/>
      <c r="B13" s="389" t="s">
        <v>466</v>
      </c>
      <c r="C13" s="92">
        <v>7.7956000000000003</v>
      </c>
      <c r="D13" s="395" t="s">
        <v>91</v>
      </c>
      <c r="E13" s="98">
        <f>C7*C13</f>
        <v>339155.37359999999</v>
      </c>
      <c r="F13" s="396" t="s">
        <v>209</v>
      </c>
      <c r="G13" s="399">
        <f>E13*76%</f>
        <v>257758.08393600001</v>
      </c>
      <c r="H13" s="400"/>
    </row>
    <row r="14" spans="1:8">
      <c r="A14" s="975"/>
      <c r="B14" s="389" t="s">
        <v>208</v>
      </c>
      <c r="C14" s="100" t="s">
        <v>552</v>
      </c>
      <c r="D14" s="392"/>
      <c r="E14" s="385"/>
      <c r="F14" s="982" t="s">
        <v>234</v>
      </c>
      <c r="G14" s="983"/>
      <c r="H14" s="55">
        <f>G13/C46</f>
        <v>1.1966801532631088</v>
      </c>
    </row>
    <row r="15" spans="1:8">
      <c r="A15" s="975"/>
      <c r="B15" s="389" t="s">
        <v>441</v>
      </c>
      <c r="C15" s="401" t="s">
        <v>1114</v>
      </c>
      <c r="D15" s="402"/>
      <c r="E15" s="403"/>
      <c r="F15" s="986" t="s">
        <v>392</v>
      </c>
      <c r="G15" s="987"/>
      <c r="H15" s="988"/>
    </row>
    <row r="16" spans="1:8" ht="16.5" thickBot="1">
      <c r="A16" s="975"/>
      <c r="B16" s="404" t="s">
        <v>553</v>
      </c>
      <c r="C16" s="100">
        <v>1.0349999999999999</v>
      </c>
      <c r="D16" s="405"/>
      <c r="E16" s="385"/>
      <c r="F16" s="385"/>
      <c r="G16" s="385"/>
      <c r="H16" s="386"/>
    </row>
    <row r="17" spans="1:8" ht="16.5" thickBot="1">
      <c r="A17" s="970"/>
      <c r="B17" s="989" t="s">
        <v>470</v>
      </c>
      <c r="C17" s="990" t="s">
        <v>554</v>
      </c>
      <c r="D17" s="406" t="s">
        <v>555</v>
      </c>
      <c r="E17" s="407"/>
      <c r="F17" s="407"/>
      <c r="G17" s="407"/>
      <c r="H17" s="408"/>
    </row>
    <row r="18" spans="1:8" ht="16.5" thickBot="1">
      <c r="A18" s="976"/>
      <c r="B18" s="989"/>
      <c r="C18" s="991"/>
      <c r="D18" s="409" t="s">
        <v>556</v>
      </c>
      <c r="E18" s="410"/>
      <c r="F18" s="410"/>
      <c r="G18" s="410"/>
      <c r="H18" s="411"/>
    </row>
    <row r="19" spans="1:8" ht="5.5" customHeight="1" thickBot="1">
      <c r="A19" s="412"/>
      <c r="B19" s="413"/>
      <c r="C19" s="414"/>
      <c r="D19" s="414"/>
      <c r="H19" s="415"/>
    </row>
    <row r="20" spans="1:8">
      <c r="A20" s="970" t="s">
        <v>49</v>
      </c>
      <c r="B20" s="416" t="s">
        <v>174</v>
      </c>
      <c r="C20" s="417" t="s">
        <v>557</v>
      </c>
      <c r="D20" s="418"/>
      <c r="E20" s="419"/>
      <c r="F20" s="419"/>
      <c r="G20" s="419"/>
      <c r="H20" s="420"/>
    </row>
    <row r="21" spans="1:8" ht="16.5" thickBot="1">
      <c r="A21" s="971"/>
      <c r="B21" s="421" t="s">
        <v>65</v>
      </c>
      <c r="C21" s="422" t="s">
        <v>661</v>
      </c>
      <c r="D21" s="423"/>
      <c r="E21" s="385"/>
      <c r="F21" s="385"/>
      <c r="G21" s="385"/>
      <c r="H21" s="386"/>
    </row>
    <row r="22" spans="1:8">
      <c r="A22" s="970"/>
      <c r="B22" s="421" t="s">
        <v>662</v>
      </c>
      <c r="C22" s="395" t="s">
        <v>663</v>
      </c>
      <c r="D22" s="423"/>
      <c r="E22" s="385"/>
      <c r="F22" s="385"/>
      <c r="G22" s="385"/>
      <c r="H22" s="386"/>
    </row>
    <row r="23" spans="1:8" ht="16.5" thickBot="1">
      <c r="A23" s="971"/>
      <c r="B23" s="421" t="s">
        <v>95</v>
      </c>
      <c r="C23" s="395" t="s">
        <v>668</v>
      </c>
      <c r="D23" s="423"/>
      <c r="E23" s="385"/>
      <c r="F23" s="385"/>
      <c r="G23" s="385"/>
      <c r="H23" s="386"/>
    </row>
    <row r="24" spans="1:8">
      <c r="A24" s="970"/>
      <c r="B24" s="421" t="s">
        <v>59</v>
      </c>
      <c r="C24" s="395" t="s">
        <v>664</v>
      </c>
      <c r="D24" s="423"/>
      <c r="E24" s="385"/>
      <c r="F24" s="385"/>
      <c r="G24" s="385"/>
      <c r="H24" s="386"/>
    </row>
    <row r="25" spans="1:8">
      <c r="A25" s="971"/>
      <c r="B25" s="421" t="s">
        <v>452</v>
      </c>
      <c r="C25" s="395" t="s">
        <v>665</v>
      </c>
      <c r="D25" s="424"/>
      <c r="E25" s="385"/>
      <c r="F25" s="385"/>
      <c r="G25" s="385"/>
      <c r="H25" s="386"/>
    </row>
    <row r="26" spans="1:8">
      <c r="A26" s="971"/>
      <c r="B26" s="421" t="s">
        <v>445</v>
      </c>
      <c r="C26" s="395" t="s">
        <v>666</v>
      </c>
      <c r="D26" s="424"/>
      <c r="E26" s="385"/>
      <c r="F26" s="385"/>
      <c r="G26" s="385"/>
      <c r="H26" s="386"/>
    </row>
    <row r="27" spans="1:8">
      <c r="A27" s="971"/>
      <c r="B27" s="421" t="s">
        <v>167</v>
      </c>
      <c r="C27" s="395" t="s">
        <v>667</v>
      </c>
      <c r="D27" s="424"/>
      <c r="E27" s="385"/>
      <c r="F27" s="385"/>
      <c r="G27" s="385"/>
      <c r="H27" s="386"/>
    </row>
    <row r="28" spans="1:8" ht="16.5" thickBot="1">
      <c r="A28" s="972"/>
      <c r="B28" s="574" t="s">
        <v>447</v>
      </c>
      <c r="C28" s="425" t="s">
        <v>618</v>
      </c>
      <c r="D28" s="426"/>
      <c r="E28" s="410"/>
      <c r="F28" s="410"/>
      <c r="G28" s="410"/>
      <c r="H28" s="411"/>
    </row>
    <row r="29" spans="1:8" ht="5.5" customHeight="1" thickBot="1">
      <c r="A29" s="412"/>
      <c r="B29" s="575"/>
      <c r="C29" s="3"/>
      <c r="H29" s="415"/>
    </row>
    <row r="30" spans="1:8" s="432" customFormat="1">
      <c r="A30" s="970" t="s">
        <v>160</v>
      </c>
      <c r="B30" s="428" t="s">
        <v>101</v>
      </c>
      <c r="C30" s="346" t="s">
        <v>48</v>
      </c>
      <c r="D30" s="429" t="s">
        <v>125</v>
      </c>
      <c r="E30" s="429" t="s">
        <v>434</v>
      </c>
      <c r="F30" s="429" t="s">
        <v>414</v>
      </c>
      <c r="G30" s="430" t="s">
        <v>465</v>
      </c>
      <c r="H30" s="431" t="s">
        <v>454</v>
      </c>
    </row>
    <row r="31" spans="1:8">
      <c r="A31" s="973"/>
      <c r="B31" s="433" t="s">
        <v>559</v>
      </c>
      <c r="C31" s="130">
        <f t="shared" ref="C31:C36" si="0">84*D31</f>
        <v>10248</v>
      </c>
      <c r="D31" s="130">
        <v>122</v>
      </c>
      <c r="E31" s="390">
        <v>78</v>
      </c>
      <c r="F31" s="390">
        <f>D31-E31</f>
        <v>44</v>
      </c>
      <c r="G31" s="223"/>
      <c r="H31" s="238">
        <f t="shared" ref="H31:H45" si="1">D31/$D$46</f>
        <v>5.4659498207885307E-2</v>
      </c>
    </row>
    <row r="32" spans="1:8" ht="16.5" thickBot="1">
      <c r="A32" s="971"/>
      <c r="B32" s="433" t="s">
        <v>561</v>
      </c>
      <c r="C32" s="130">
        <f t="shared" si="0"/>
        <v>27384</v>
      </c>
      <c r="D32" s="130">
        <v>326</v>
      </c>
      <c r="E32" s="390">
        <v>209</v>
      </c>
      <c r="F32" s="390">
        <f t="shared" ref="F32:F45" si="2">D32-E32</f>
        <v>117</v>
      </c>
      <c r="G32" s="223"/>
      <c r="H32" s="238">
        <f t="shared" si="1"/>
        <v>0.14605734767025089</v>
      </c>
    </row>
    <row r="33" spans="1:8">
      <c r="A33" s="970"/>
      <c r="B33" s="433" t="s">
        <v>563</v>
      </c>
      <c r="C33" s="130">
        <f t="shared" si="0"/>
        <v>15792</v>
      </c>
      <c r="D33" s="130">
        <v>188</v>
      </c>
      <c r="E33" s="390">
        <v>121</v>
      </c>
      <c r="F33" s="390">
        <f t="shared" si="2"/>
        <v>67</v>
      </c>
      <c r="G33" s="223"/>
      <c r="H33" s="238">
        <f t="shared" si="1"/>
        <v>8.4229390681003588E-2</v>
      </c>
    </row>
    <row r="34" spans="1:8">
      <c r="A34" s="973"/>
      <c r="B34" s="433" t="s">
        <v>564</v>
      </c>
      <c r="C34" s="130">
        <f t="shared" si="0"/>
        <v>15792</v>
      </c>
      <c r="D34" s="130">
        <v>188</v>
      </c>
      <c r="E34" s="390">
        <v>121</v>
      </c>
      <c r="F34" s="390">
        <f t="shared" si="2"/>
        <v>67</v>
      </c>
      <c r="G34" s="223"/>
      <c r="H34" s="238">
        <f t="shared" si="1"/>
        <v>8.4229390681003588E-2</v>
      </c>
    </row>
    <row r="35" spans="1:8" ht="16.5" thickBot="1">
      <c r="A35" s="973"/>
      <c r="B35" s="433" t="s">
        <v>565</v>
      </c>
      <c r="C35" s="130">
        <f t="shared" si="0"/>
        <v>8736</v>
      </c>
      <c r="D35" s="130">
        <v>104</v>
      </c>
      <c r="E35" s="390">
        <v>67</v>
      </c>
      <c r="F35" s="390">
        <f t="shared" si="2"/>
        <v>37</v>
      </c>
      <c r="G35" s="223"/>
      <c r="H35" s="238">
        <f t="shared" si="1"/>
        <v>4.6594982078853049E-2</v>
      </c>
    </row>
    <row r="36" spans="1:8">
      <c r="A36" s="970"/>
      <c r="B36" s="433" t="s">
        <v>567</v>
      </c>
      <c r="C36" s="130">
        <f t="shared" si="0"/>
        <v>10920</v>
      </c>
      <c r="D36" s="130">
        <v>130</v>
      </c>
      <c r="E36" s="390">
        <v>82</v>
      </c>
      <c r="F36" s="390">
        <f t="shared" si="2"/>
        <v>48</v>
      </c>
      <c r="G36" s="223"/>
      <c r="H36" s="238">
        <f t="shared" si="1"/>
        <v>5.824372759856631E-2</v>
      </c>
    </row>
    <row r="37" spans="1:8">
      <c r="A37" s="973"/>
      <c r="B37" s="433" t="s">
        <v>569</v>
      </c>
      <c r="C37" s="130">
        <f>93*D37</f>
        <v>16554</v>
      </c>
      <c r="D37" s="130">
        <v>178</v>
      </c>
      <c r="E37" s="390">
        <v>114</v>
      </c>
      <c r="F37" s="390">
        <f t="shared" si="2"/>
        <v>64</v>
      </c>
      <c r="G37" s="223"/>
      <c r="H37" s="238">
        <f t="shared" si="1"/>
        <v>7.9749103942652333E-2</v>
      </c>
    </row>
    <row r="38" spans="1:8">
      <c r="A38" s="973"/>
      <c r="B38" s="433" t="s">
        <v>570</v>
      </c>
      <c r="C38" s="130">
        <f>93*D38</f>
        <v>17670</v>
      </c>
      <c r="D38" s="130">
        <v>190</v>
      </c>
      <c r="E38" s="390">
        <v>122</v>
      </c>
      <c r="F38" s="390">
        <f t="shared" si="2"/>
        <v>68</v>
      </c>
      <c r="G38" s="223"/>
      <c r="H38" s="238">
        <f t="shared" si="1"/>
        <v>8.5125448028673834E-2</v>
      </c>
    </row>
    <row r="39" spans="1:8">
      <c r="A39" s="973"/>
      <c r="B39" s="433" t="s">
        <v>571</v>
      </c>
      <c r="C39" s="130">
        <f>109.8*D39</f>
        <v>39088.799999999996</v>
      </c>
      <c r="D39" s="130">
        <v>356</v>
      </c>
      <c r="E39" s="390">
        <v>228</v>
      </c>
      <c r="F39" s="390">
        <f t="shared" si="2"/>
        <v>128</v>
      </c>
      <c r="G39" s="223"/>
      <c r="H39" s="238">
        <f t="shared" si="1"/>
        <v>0.15949820788530467</v>
      </c>
    </row>
    <row r="40" spans="1:8">
      <c r="A40" s="973"/>
      <c r="B40" s="433" t="s">
        <v>572</v>
      </c>
      <c r="C40" s="130">
        <f>109.8*D40</f>
        <v>20752.2</v>
      </c>
      <c r="D40" s="130">
        <v>189</v>
      </c>
      <c r="E40" s="390">
        <v>121</v>
      </c>
      <c r="F40" s="390">
        <f t="shared" si="2"/>
        <v>68</v>
      </c>
      <c r="G40" s="223"/>
      <c r="H40" s="238">
        <f t="shared" si="1"/>
        <v>8.4677419354838704E-2</v>
      </c>
    </row>
    <row r="41" spans="1:8">
      <c r="A41" s="973"/>
      <c r="B41" s="433" t="s">
        <v>573</v>
      </c>
      <c r="C41" s="130">
        <f>109.8*D41</f>
        <v>17128.8</v>
      </c>
      <c r="D41" s="130">
        <v>156</v>
      </c>
      <c r="E41" s="390">
        <v>100</v>
      </c>
      <c r="F41" s="390">
        <f t="shared" si="2"/>
        <v>56</v>
      </c>
      <c r="G41" s="223"/>
      <c r="H41" s="238">
        <f t="shared" si="1"/>
        <v>6.9892473118279563E-2</v>
      </c>
    </row>
    <row r="42" spans="1:8">
      <c r="A42" s="973"/>
      <c r="B42" s="433" t="s">
        <v>574</v>
      </c>
      <c r="C42" s="130">
        <f>132.2*D42</f>
        <v>3965.9999999999995</v>
      </c>
      <c r="D42" s="130">
        <v>30</v>
      </c>
      <c r="E42" s="390">
        <v>19</v>
      </c>
      <c r="F42" s="390">
        <f t="shared" si="2"/>
        <v>11</v>
      </c>
      <c r="G42" s="223"/>
      <c r="H42" s="238">
        <f t="shared" si="1"/>
        <v>1.3440860215053764E-2</v>
      </c>
    </row>
    <row r="43" spans="1:8">
      <c r="A43" s="973"/>
      <c r="B43" s="433" t="s">
        <v>575</v>
      </c>
      <c r="C43" s="130">
        <f>132.2*D43</f>
        <v>5288</v>
      </c>
      <c r="D43" s="130">
        <v>40</v>
      </c>
      <c r="E43" s="390">
        <v>26</v>
      </c>
      <c r="F43" s="390">
        <f t="shared" si="2"/>
        <v>14</v>
      </c>
      <c r="G43" s="223"/>
      <c r="H43" s="238">
        <f t="shared" si="1"/>
        <v>1.7921146953405017E-2</v>
      </c>
    </row>
    <row r="44" spans="1:8">
      <c r="A44" s="973"/>
      <c r="B44" s="433" t="s">
        <v>576</v>
      </c>
      <c r="C44" s="130">
        <f>158.7*D44</f>
        <v>2380.5</v>
      </c>
      <c r="D44" s="130">
        <v>15</v>
      </c>
      <c r="E44" s="390">
        <v>10</v>
      </c>
      <c r="F44" s="390">
        <f t="shared" si="2"/>
        <v>5</v>
      </c>
      <c r="G44" s="223"/>
      <c r="H44" s="238">
        <f t="shared" si="1"/>
        <v>6.7204301075268818E-3</v>
      </c>
    </row>
    <row r="45" spans="1:8">
      <c r="A45" s="973"/>
      <c r="B45" s="433" t="s">
        <v>577</v>
      </c>
      <c r="C45" s="130">
        <f>184.7*D45</f>
        <v>3694</v>
      </c>
      <c r="D45" s="130">
        <v>20</v>
      </c>
      <c r="E45" s="390">
        <v>13</v>
      </c>
      <c r="F45" s="390">
        <f t="shared" si="2"/>
        <v>7</v>
      </c>
      <c r="G45" s="223"/>
      <c r="H45" s="238">
        <f t="shared" si="1"/>
        <v>8.9605734767025085E-3</v>
      </c>
    </row>
    <row r="46" spans="1:8" ht="16.5" thickBot="1">
      <c r="A46" s="972"/>
      <c r="B46" s="433" t="s">
        <v>462</v>
      </c>
      <c r="C46" s="57">
        <f t="shared" ref="C46:H46" si="3">SUM(C31:C45)</f>
        <v>215394.3</v>
      </c>
      <c r="D46" s="57">
        <f t="shared" si="3"/>
        <v>2232</v>
      </c>
      <c r="E46" s="57">
        <f t="shared" si="3"/>
        <v>1431</v>
      </c>
      <c r="F46" s="57">
        <f t="shared" si="3"/>
        <v>801</v>
      </c>
      <c r="G46" s="57">
        <f t="shared" si="3"/>
        <v>0</v>
      </c>
      <c r="H46" s="239">
        <f t="shared" si="3"/>
        <v>1</v>
      </c>
    </row>
    <row r="47" spans="1:8" ht="5.5" customHeight="1" thickBot="1">
      <c r="A47" s="412"/>
      <c r="B47" s="413"/>
      <c r="C47" s="3"/>
      <c r="H47" s="415"/>
    </row>
    <row r="48" spans="1:8" s="436" customFormat="1" ht="16.5" thickBot="1">
      <c r="A48" s="992" t="s">
        <v>1</v>
      </c>
      <c r="B48" s="428" t="s">
        <v>451</v>
      </c>
      <c r="C48" s="429" t="s">
        <v>901</v>
      </c>
      <c r="D48" s="429" t="s">
        <v>902</v>
      </c>
      <c r="E48" s="429" t="s">
        <v>43</v>
      </c>
      <c r="F48" s="429" t="s">
        <v>903</v>
      </c>
      <c r="G48" s="434" t="s">
        <v>172</v>
      </c>
      <c r="H48" s="435" t="s">
        <v>1187</v>
      </c>
    </row>
    <row r="49" spans="1:9" ht="16.5" thickBot="1">
      <c r="A49" s="992"/>
      <c r="B49" s="433" t="s">
        <v>558</v>
      </c>
      <c r="C49" s="729">
        <f>F49*70%</f>
        <v>15413999.999999998</v>
      </c>
      <c r="D49" s="437">
        <f>F49-2000000</f>
        <v>20020000</v>
      </c>
      <c r="E49" s="362">
        <f>(D49-C49)*34</f>
        <v>156604000.00000006</v>
      </c>
      <c r="F49" s="723">
        <v>22020000</v>
      </c>
      <c r="G49" s="362">
        <f>(F49-C49)*34</f>
        <v>224604000.00000006</v>
      </c>
      <c r="H49" s="439" t="s">
        <v>1167</v>
      </c>
    </row>
    <row r="50" spans="1:9" ht="16.5" thickBot="1">
      <c r="A50" s="992"/>
      <c r="B50" s="433" t="s">
        <v>560</v>
      </c>
      <c r="C50" s="437"/>
      <c r="D50" s="437"/>
      <c r="E50" s="438"/>
      <c r="F50" s="437"/>
      <c r="G50" s="438"/>
      <c r="H50" s="440"/>
    </row>
    <row r="51" spans="1:9" ht="16.5" thickBot="1">
      <c r="A51" s="992"/>
      <c r="B51" s="433" t="s">
        <v>562</v>
      </c>
      <c r="C51" s="437"/>
      <c r="D51" s="437"/>
      <c r="E51" s="438"/>
      <c r="F51" s="437"/>
      <c r="G51" s="438"/>
      <c r="H51" s="439"/>
    </row>
    <row r="52" spans="1:9" ht="16.5" thickBot="1">
      <c r="A52" s="992"/>
      <c r="B52" s="433" t="s">
        <v>532</v>
      </c>
      <c r="C52" s="437"/>
      <c r="D52" s="437"/>
      <c r="E52" s="438"/>
      <c r="F52" s="437"/>
      <c r="G52" s="438"/>
      <c r="H52" s="439"/>
    </row>
    <row r="53" spans="1:9" ht="16.5" thickBot="1">
      <c r="A53" s="992"/>
      <c r="B53" s="433" t="s">
        <v>533</v>
      </c>
      <c r="C53" s="437"/>
      <c r="D53" s="437"/>
      <c r="E53" s="438"/>
      <c r="F53" s="437"/>
      <c r="G53" s="438"/>
      <c r="H53" s="439"/>
    </row>
    <row r="54" spans="1:9" ht="16.5" thickBot="1">
      <c r="A54" s="992"/>
      <c r="B54" s="433" t="s">
        <v>566</v>
      </c>
      <c r="C54" s="437"/>
      <c r="D54" s="437"/>
      <c r="E54" s="438"/>
      <c r="F54" s="437"/>
      <c r="G54" s="438"/>
      <c r="H54" s="439"/>
    </row>
    <row r="55" spans="1:9" ht="16.5" thickBot="1">
      <c r="A55" s="992"/>
      <c r="B55" s="433" t="s">
        <v>568</v>
      </c>
      <c r="C55" s="437"/>
      <c r="D55" s="437"/>
      <c r="E55" s="438"/>
      <c r="F55" s="437"/>
      <c r="G55" s="438"/>
      <c r="H55" s="439"/>
    </row>
    <row r="56" spans="1:9" ht="16.5" thickBot="1">
      <c r="A56" s="992"/>
      <c r="B56" s="433" t="s">
        <v>570</v>
      </c>
      <c r="C56" s="437"/>
      <c r="D56" s="437"/>
      <c r="E56" s="438"/>
      <c r="F56" s="437"/>
      <c r="G56" s="438"/>
      <c r="H56" s="439"/>
    </row>
    <row r="57" spans="1:9" ht="16.5" thickBot="1">
      <c r="A57" s="992"/>
      <c r="B57" s="433" t="s">
        <v>571</v>
      </c>
      <c r="C57" s="437"/>
      <c r="D57" s="437"/>
      <c r="E57" s="438"/>
      <c r="F57" s="437"/>
      <c r="G57" s="438"/>
      <c r="H57" s="439"/>
    </row>
    <row r="58" spans="1:9" ht="16.5" thickBot="1">
      <c r="A58" s="992"/>
      <c r="B58" s="576" t="s">
        <v>572</v>
      </c>
      <c r="C58" s="581"/>
      <c r="D58" s="581"/>
      <c r="E58" s="579"/>
      <c r="F58" s="581"/>
      <c r="G58" s="579"/>
      <c r="H58" s="580"/>
    </row>
    <row r="59" spans="1:9" ht="6.5" customHeight="1" thickBot="1">
      <c r="A59" s="441"/>
      <c r="B59" s="442"/>
      <c r="C59" s="443"/>
      <c r="D59" s="443"/>
      <c r="E59" s="444"/>
      <c r="F59" s="443"/>
      <c r="G59" s="444"/>
      <c r="H59" s="445"/>
    </row>
    <row r="60" spans="1:9" ht="64">
      <c r="A60" s="993" t="s">
        <v>286</v>
      </c>
      <c r="B60" s="429" t="s">
        <v>101</v>
      </c>
      <c r="C60" s="508" t="s">
        <v>1395</v>
      </c>
      <c r="D60" s="446" t="s">
        <v>247</v>
      </c>
      <c r="E60" s="447" t="s">
        <v>322</v>
      </c>
      <c r="F60" s="446" t="s">
        <v>222</v>
      </c>
      <c r="G60" s="447" t="s">
        <v>367</v>
      </c>
      <c r="H60" s="429" t="s">
        <v>1136</v>
      </c>
      <c r="I60" s="753" t="s">
        <v>1206</v>
      </c>
    </row>
    <row r="61" spans="1:9" ht="17">
      <c r="A61" s="994"/>
      <c r="B61" s="733" t="s">
        <v>558</v>
      </c>
      <c r="C61" s="448">
        <v>520000000</v>
      </c>
      <c r="D61" s="449">
        <f>E49</f>
        <v>156604000.00000006</v>
      </c>
      <c r="E61" s="438">
        <f t="shared" ref="E61:E71" si="4">D61-C61</f>
        <v>-363395999.99999994</v>
      </c>
      <c r="F61" s="449">
        <f t="shared" ref="F61:F70" si="5">G49</f>
        <v>224604000.00000006</v>
      </c>
      <c r="G61" s="438">
        <f>F61-C61</f>
        <v>-295395999.99999994</v>
      </c>
      <c r="H61" s="62">
        <f>(C61+(C49*34))/34</f>
        <v>30708117.647058822</v>
      </c>
      <c r="I61" s="751">
        <f>H61/F49</f>
        <v>1.3945557514558957</v>
      </c>
    </row>
    <row r="62" spans="1:9">
      <c r="A62" s="994"/>
      <c r="B62" s="733" t="s">
        <v>560</v>
      </c>
      <c r="C62" s="448"/>
      <c r="D62" s="449"/>
      <c r="E62" s="438">
        <f t="shared" si="4"/>
        <v>0</v>
      </c>
      <c r="F62" s="449">
        <f t="shared" si="5"/>
        <v>0</v>
      </c>
      <c r="G62" s="438">
        <f>F62-C62</f>
        <v>0</v>
      </c>
      <c r="H62" s="734"/>
      <c r="I62" s="439"/>
    </row>
    <row r="63" spans="1:9">
      <c r="A63" s="994"/>
      <c r="B63" s="733" t="s">
        <v>562</v>
      </c>
      <c r="C63" s="448"/>
      <c r="D63" s="449"/>
      <c r="E63" s="438">
        <f t="shared" si="4"/>
        <v>0</v>
      </c>
      <c r="F63" s="449">
        <f t="shared" si="5"/>
        <v>0</v>
      </c>
      <c r="G63" s="438">
        <f t="shared" ref="G63:G71" si="6">F63-C63</f>
        <v>0</v>
      </c>
      <c r="H63" s="734"/>
      <c r="I63" s="439"/>
    </row>
    <row r="64" spans="1:9">
      <c r="A64" s="994"/>
      <c r="B64" s="733" t="s">
        <v>532</v>
      </c>
      <c r="C64" s="448"/>
      <c r="D64" s="449"/>
      <c r="E64" s="438">
        <f t="shared" si="4"/>
        <v>0</v>
      </c>
      <c r="F64" s="449">
        <f t="shared" si="5"/>
        <v>0</v>
      </c>
      <c r="G64" s="438">
        <f t="shared" si="6"/>
        <v>0</v>
      </c>
      <c r="H64" s="734"/>
      <c r="I64" s="439"/>
    </row>
    <row r="65" spans="1:11">
      <c r="A65" s="994"/>
      <c r="B65" s="733" t="s">
        <v>533</v>
      </c>
      <c r="C65" s="448"/>
      <c r="D65" s="449"/>
      <c r="E65" s="438">
        <f t="shared" si="4"/>
        <v>0</v>
      </c>
      <c r="F65" s="449">
        <f t="shared" si="5"/>
        <v>0</v>
      </c>
      <c r="G65" s="438">
        <f t="shared" si="6"/>
        <v>0</v>
      </c>
      <c r="H65" s="734"/>
      <c r="I65" s="439"/>
    </row>
    <row r="66" spans="1:11">
      <c r="A66" s="994"/>
      <c r="B66" s="733" t="s">
        <v>566</v>
      </c>
      <c r="C66" s="448"/>
      <c r="D66" s="449"/>
      <c r="E66" s="438">
        <f t="shared" si="4"/>
        <v>0</v>
      </c>
      <c r="F66" s="449">
        <f t="shared" si="5"/>
        <v>0</v>
      </c>
      <c r="G66" s="438">
        <f t="shared" si="6"/>
        <v>0</v>
      </c>
      <c r="H66" s="396"/>
      <c r="I66" s="439"/>
    </row>
    <row r="67" spans="1:11">
      <c r="A67" s="994"/>
      <c r="B67" s="733" t="s">
        <v>568</v>
      </c>
      <c r="C67" s="448"/>
      <c r="D67" s="449"/>
      <c r="E67" s="438">
        <f t="shared" si="4"/>
        <v>0</v>
      </c>
      <c r="F67" s="449">
        <f t="shared" si="5"/>
        <v>0</v>
      </c>
      <c r="G67" s="438">
        <f t="shared" si="6"/>
        <v>0</v>
      </c>
      <c r="H67" s="734"/>
      <c r="I67" s="439"/>
    </row>
    <row r="68" spans="1:11">
      <c r="A68" s="994"/>
      <c r="B68" s="733" t="s">
        <v>570</v>
      </c>
      <c r="C68" s="448"/>
      <c r="D68" s="449"/>
      <c r="E68" s="438">
        <f t="shared" si="4"/>
        <v>0</v>
      </c>
      <c r="F68" s="449">
        <f t="shared" si="5"/>
        <v>0</v>
      </c>
      <c r="G68" s="438">
        <f t="shared" si="6"/>
        <v>0</v>
      </c>
      <c r="H68" s="734"/>
      <c r="I68" s="439"/>
    </row>
    <row r="69" spans="1:11">
      <c r="A69" s="994"/>
      <c r="B69" s="733" t="s">
        <v>571</v>
      </c>
      <c r="C69" s="448"/>
      <c r="D69" s="449"/>
      <c r="E69" s="438">
        <f t="shared" si="4"/>
        <v>0</v>
      </c>
      <c r="F69" s="449">
        <f t="shared" si="5"/>
        <v>0</v>
      </c>
      <c r="G69" s="438">
        <f t="shared" si="6"/>
        <v>0</v>
      </c>
      <c r="H69" s="734"/>
      <c r="I69" s="439"/>
    </row>
    <row r="70" spans="1:11">
      <c r="A70" s="994"/>
      <c r="B70" s="733" t="s">
        <v>572</v>
      </c>
      <c r="C70" s="448"/>
      <c r="D70" s="449"/>
      <c r="E70" s="438">
        <f t="shared" si="4"/>
        <v>0</v>
      </c>
      <c r="F70" s="449">
        <f t="shared" si="5"/>
        <v>0</v>
      </c>
      <c r="G70" s="438">
        <f t="shared" si="6"/>
        <v>0</v>
      </c>
      <c r="H70" s="734"/>
      <c r="I70" s="439"/>
    </row>
    <row r="71" spans="1:11" ht="16.5" thickBot="1">
      <c r="A71" s="995"/>
      <c r="B71" s="735" t="s">
        <v>573</v>
      </c>
      <c r="C71" s="577"/>
      <c r="D71" s="578"/>
      <c r="E71" s="579">
        <f t="shared" si="4"/>
        <v>0</v>
      </c>
      <c r="F71" s="578" t="e">
        <f>#REF!</f>
        <v>#REF!</v>
      </c>
      <c r="G71" s="579" t="e">
        <f t="shared" si="6"/>
        <v>#REF!</v>
      </c>
      <c r="H71" s="736"/>
      <c r="I71" s="580"/>
    </row>
    <row r="72" spans="1:11" ht="4.75" customHeight="1" thickBot="1"/>
    <row r="73" spans="1:11" s="1" customFormat="1" ht="22.75" customHeight="1">
      <c r="A73" s="833" t="s">
        <v>598</v>
      </c>
      <c r="B73" s="243" t="s">
        <v>599</v>
      </c>
      <c r="C73" s="242" t="s">
        <v>857</v>
      </c>
      <c r="D73" s="815" t="s">
        <v>600</v>
      </c>
      <c r="E73" s="816"/>
      <c r="F73" s="816"/>
      <c r="G73" s="816"/>
      <c r="H73" s="817"/>
      <c r="I73" s="5"/>
      <c r="J73" s="5"/>
      <c r="K73" s="5"/>
    </row>
    <row r="74" spans="1:11" s="1" customFormat="1" ht="22.75" customHeight="1">
      <c r="A74" s="835"/>
      <c r="B74" s="165" t="s">
        <v>1108</v>
      </c>
      <c r="C74" s="626">
        <v>1600</v>
      </c>
      <c r="D74" s="492"/>
      <c r="H74" s="42"/>
    </row>
    <row r="75" spans="1:11" s="1" customFormat="1" ht="22.75" customHeight="1">
      <c r="A75" s="835"/>
      <c r="B75" s="165" t="s">
        <v>601</v>
      </c>
      <c r="C75" s="627">
        <v>1650</v>
      </c>
      <c r="D75" s="492"/>
      <c r="H75" s="42"/>
    </row>
    <row r="76" spans="1:11" s="1" customFormat="1" ht="22.75" customHeight="1">
      <c r="A76" s="835"/>
      <c r="B76" s="165" t="s">
        <v>602</v>
      </c>
      <c r="C76" s="627">
        <v>1900</v>
      </c>
      <c r="D76" s="492"/>
      <c r="H76" s="42"/>
    </row>
    <row r="77" spans="1:11" s="1" customFormat="1" ht="22.75" customHeight="1">
      <c r="A77" s="835"/>
      <c r="B77" s="165" t="s">
        <v>603</v>
      </c>
      <c r="C77" s="627">
        <v>2000</v>
      </c>
      <c r="D77" s="492"/>
      <c r="H77" s="42"/>
    </row>
    <row r="78" spans="1:11" s="1" customFormat="1" ht="22.75" customHeight="1">
      <c r="A78" s="835"/>
      <c r="B78" s="165" t="s">
        <v>604</v>
      </c>
      <c r="C78" s="627">
        <v>3159</v>
      </c>
      <c r="D78" s="492"/>
      <c r="H78" s="42"/>
    </row>
    <row r="79" spans="1:11" s="1" customFormat="1" ht="22.75" customHeight="1">
      <c r="A79" s="835"/>
      <c r="B79" s="165" t="s">
        <v>1458</v>
      </c>
      <c r="C79" s="627">
        <f>H61/10000</f>
        <v>3070.8117647058821</v>
      </c>
      <c r="D79" s="492"/>
      <c r="H79" s="42"/>
    </row>
    <row r="80" spans="1:11" s="1" customFormat="1" ht="22.75" customHeight="1">
      <c r="A80" s="835"/>
      <c r="B80" s="165" t="s">
        <v>1462</v>
      </c>
      <c r="C80" s="627"/>
      <c r="D80" s="492"/>
      <c r="H80" s="42"/>
    </row>
    <row r="81" spans="1:8" s="1" customFormat="1" ht="22.75" customHeight="1">
      <c r="A81" s="835"/>
      <c r="B81" s="165" t="s">
        <v>1463</v>
      </c>
      <c r="C81" s="627"/>
      <c r="D81" s="492"/>
      <c r="H81" s="42"/>
    </row>
    <row r="82" spans="1:8" s="1" customFormat="1" ht="22.75" customHeight="1">
      <c r="A82" s="835"/>
      <c r="B82" s="165" t="s">
        <v>1464</v>
      </c>
      <c r="C82" s="627"/>
      <c r="D82" s="492"/>
      <c r="H82" s="42"/>
    </row>
    <row r="83" spans="1:8" s="1" customFormat="1" ht="22.75" customHeight="1" thickBot="1">
      <c r="A83" s="836"/>
      <c r="B83" s="157" t="s">
        <v>1111</v>
      </c>
      <c r="C83" s="628"/>
      <c r="D83" s="493"/>
      <c r="E83" s="486"/>
      <c r="F83" s="486"/>
      <c r="G83" s="486"/>
      <c r="H83" s="487"/>
    </row>
    <row r="84" spans="1:8" ht="5" customHeight="1" thickBot="1"/>
    <row r="85" spans="1:8" s="76" customFormat="1">
      <c r="A85" s="826" t="s">
        <v>650</v>
      </c>
      <c r="B85" s="564"/>
      <c r="C85" s="565"/>
      <c r="D85" s="566"/>
      <c r="E85" s="559"/>
      <c r="F85" s="559"/>
      <c r="G85" s="559"/>
      <c r="H85" s="567"/>
    </row>
    <row r="86" spans="1:8" s="76" customFormat="1" ht="15" customHeight="1">
      <c r="A86" s="827"/>
      <c r="B86" s="206" t="s">
        <v>1112</v>
      </c>
      <c r="C86" s="78"/>
      <c r="D86" s="79"/>
      <c r="H86" s="114"/>
    </row>
    <row r="87" spans="1:8" s="76" customFormat="1" ht="15" customHeight="1">
      <c r="A87" s="827"/>
      <c r="B87" s="712" t="s">
        <v>1113</v>
      </c>
      <c r="C87" s="78"/>
      <c r="D87" s="79"/>
      <c r="H87" s="114"/>
    </row>
    <row r="88" spans="1:8" s="76" customFormat="1" ht="15" customHeight="1">
      <c r="A88" s="827"/>
      <c r="B88" s="206"/>
      <c r="C88" s="78"/>
      <c r="D88" s="79"/>
      <c r="H88" s="114"/>
    </row>
    <row r="89" spans="1:8" s="76" customFormat="1" ht="15" customHeight="1">
      <c r="A89" s="827"/>
      <c r="B89" s="206"/>
      <c r="C89" s="78"/>
      <c r="D89" s="79"/>
      <c r="H89" s="114"/>
    </row>
    <row r="90" spans="1:8" s="76" customFormat="1" ht="16.5" thickBot="1">
      <c r="A90" s="828"/>
      <c r="B90" s="568"/>
      <c r="C90" s="569"/>
      <c r="D90" s="570"/>
      <c r="E90" s="571"/>
      <c r="F90" s="571"/>
      <c r="G90" s="571"/>
      <c r="H90" s="572"/>
    </row>
  </sheetData>
  <mergeCells count="20">
    <mergeCell ref="A48:A58"/>
    <mergeCell ref="A73:A83"/>
    <mergeCell ref="D73:H73"/>
    <mergeCell ref="A60:A71"/>
    <mergeCell ref="A85:A90"/>
    <mergeCell ref="A20:A28"/>
    <mergeCell ref="A30:A46"/>
    <mergeCell ref="A1:H1"/>
    <mergeCell ref="A2:A18"/>
    <mergeCell ref="C2:H2"/>
    <mergeCell ref="C3:H3"/>
    <mergeCell ref="C5:D5"/>
    <mergeCell ref="C6:D6"/>
    <mergeCell ref="D7:E7"/>
    <mergeCell ref="G7:H7"/>
    <mergeCell ref="F10:H10"/>
    <mergeCell ref="F14:G14"/>
    <mergeCell ref="F15:H15"/>
    <mergeCell ref="B17:B18"/>
    <mergeCell ref="C17:C18"/>
  </mergeCells>
  <phoneticPr fontId="16" type="noConversion"/>
  <hyperlinks>
    <hyperlink ref="B87" r:id="rId1"/>
  </hyperlinks>
  <pageMargins left="0.69972223043441772" right="0.69972223043441772" top="0.75" bottom="0.75" header="0.30000001192092896" footer="0.30000001192092896"/>
  <pageSetup paperSize="9" fitToWidth="0" fitToHeight="0" orientation="portrait" r:id="rId2"/>
  <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83"/>
  <sheetViews>
    <sheetView showGridLines="0" topLeftCell="A55" zoomScale="70" zoomScaleNormal="70" zoomScaleSheetLayoutView="70" workbookViewId="0">
      <selection activeCell="C69" sqref="C69"/>
    </sheetView>
  </sheetViews>
  <sheetFormatPr defaultColWidth="13.4140625" defaultRowHeight="16"/>
  <cols>
    <col min="1" max="1" width="4.9140625" style="1" customWidth="1"/>
    <col min="2" max="2" width="17.5" style="2" bestFit="1" customWidth="1"/>
    <col min="3" max="3" width="26.58203125" style="3" customWidth="1"/>
    <col min="4" max="4" width="19.6640625" style="4" customWidth="1"/>
    <col min="5" max="5" width="21.6640625" style="1" bestFit="1" customWidth="1"/>
    <col min="6" max="6" width="18.6640625" style="1" customWidth="1"/>
    <col min="7" max="7" width="18.08203125" style="1" bestFit="1" customWidth="1"/>
    <col min="8" max="8" width="16.4140625" style="1" bestFit="1" customWidth="1"/>
    <col min="9" max="9" width="27.25" style="1" bestFit="1" customWidth="1"/>
    <col min="10" max="16384" width="13.4140625" style="1"/>
  </cols>
  <sheetData>
    <row r="1" spans="1:8" ht="31.5" customHeight="1" thickBot="1">
      <c r="A1" s="872" t="s">
        <v>716</v>
      </c>
      <c r="B1" s="873"/>
      <c r="C1" s="873"/>
      <c r="D1" s="873"/>
      <c r="E1" s="873"/>
      <c r="F1" s="873"/>
      <c r="G1" s="873"/>
      <c r="H1" s="874"/>
    </row>
    <row r="2" spans="1:8">
      <c r="A2" s="875" t="s">
        <v>112</v>
      </c>
      <c r="B2" s="6" t="s">
        <v>420</v>
      </c>
      <c r="C2" s="7" t="s">
        <v>717</v>
      </c>
      <c r="D2" s="8"/>
      <c r="E2" s="9"/>
      <c r="F2" s="9"/>
      <c r="G2" s="9"/>
      <c r="H2" s="10"/>
    </row>
    <row r="3" spans="1:8">
      <c r="A3" s="876"/>
      <c r="B3" s="11" t="s">
        <v>471</v>
      </c>
      <c r="C3" s="12" t="s">
        <v>718</v>
      </c>
      <c r="D3" s="13"/>
      <c r="E3" s="14"/>
      <c r="F3" s="14"/>
      <c r="G3" s="14"/>
      <c r="H3" s="15"/>
    </row>
    <row r="4" spans="1:8">
      <c r="A4" s="876"/>
      <c r="B4" s="11" t="s">
        <v>407</v>
      </c>
      <c r="C4" s="856" t="s">
        <v>719</v>
      </c>
      <c r="D4" s="857"/>
      <c r="E4" s="548" t="s">
        <v>644</v>
      </c>
      <c r="F4" s="529">
        <v>4500000</v>
      </c>
      <c r="G4" s="14"/>
      <c r="H4" s="15"/>
    </row>
    <row r="5" spans="1:8" ht="31.75" customHeight="1">
      <c r="A5" s="827"/>
      <c r="B5" s="16" t="s">
        <v>626</v>
      </c>
      <c r="C5" s="17">
        <v>138570</v>
      </c>
      <c r="D5" s="882" t="s">
        <v>624</v>
      </c>
      <c r="E5" s="859"/>
      <c r="F5" s="250">
        <f>C5*0.3025/C7</f>
        <v>43.618548387096773</v>
      </c>
      <c r="G5" s="858" t="s">
        <v>522</v>
      </c>
      <c r="H5" s="883"/>
    </row>
    <row r="6" spans="1:8">
      <c r="A6" s="827"/>
      <c r="B6" s="16" t="s">
        <v>425</v>
      </c>
      <c r="C6" s="17">
        <v>33</v>
      </c>
      <c r="D6" s="544" t="s">
        <v>627</v>
      </c>
      <c r="E6" s="530"/>
      <c r="F6" s="538" t="s">
        <v>628</v>
      </c>
      <c r="G6" s="884">
        <f>C5-E6</f>
        <v>138570</v>
      </c>
      <c r="H6" s="996"/>
    </row>
    <row r="7" spans="1:8">
      <c r="A7" s="827"/>
      <c r="B7" s="16" t="s">
        <v>121</v>
      </c>
      <c r="C7" s="17">
        <v>961</v>
      </c>
      <c r="D7" s="21" t="s">
        <v>39</v>
      </c>
      <c r="E7" s="251">
        <f>C7/C9</f>
        <v>0.3466810966810967</v>
      </c>
      <c r="F7" s="18"/>
      <c r="G7" s="19"/>
      <c r="H7" s="20"/>
    </row>
    <row r="8" spans="1:8">
      <c r="A8" s="827"/>
      <c r="B8" s="16" t="s">
        <v>54</v>
      </c>
      <c r="C8" s="249">
        <f>C9-C7</f>
        <v>1811</v>
      </c>
      <c r="D8" s="21" t="s">
        <v>145</v>
      </c>
      <c r="E8" s="251">
        <f>C8/C9</f>
        <v>0.6533189033189033</v>
      </c>
      <c r="F8" s="863" t="s">
        <v>29</v>
      </c>
      <c r="G8" s="864"/>
      <c r="H8" s="865"/>
    </row>
    <row r="9" spans="1:8">
      <c r="A9" s="827"/>
      <c r="B9" s="16" t="s">
        <v>125</v>
      </c>
      <c r="C9" s="17">
        <v>2772</v>
      </c>
      <c r="D9" s="586"/>
      <c r="E9" s="19"/>
      <c r="F9" s="19"/>
      <c r="G9" s="19"/>
      <c r="H9" s="20"/>
    </row>
    <row r="10" spans="1:8">
      <c r="A10" s="827"/>
      <c r="B10" s="16" t="s">
        <v>427</v>
      </c>
      <c r="C10" s="24">
        <v>0.2059</v>
      </c>
      <c r="D10" s="551" t="s">
        <v>84</v>
      </c>
      <c r="E10" s="545">
        <f>G6*C10</f>
        <v>28531.562999999998</v>
      </c>
      <c r="F10" s="544" t="s">
        <v>41</v>
      </c>
      <c r="G10" s="541">
        <f>E11/E10</f>
        <v>12.614375910636234</v>
      </c>
      <c r="H10" s="29"/>
    </row>
    <row r="11" spans="1:8">
      <c r="A11" s="827"/>
      <c r="B11" s="16" t="s">
        <v>466</v>
      </c>
      <c r="C11" s="24">
        <v>2.5973000000000002</v>
      </c>
      <c r="D11" s="551" t="s">
        <v>631</v>
      </c>
      <c r="E11" s="546">
        <f>G6*C11</f>
        <v>359907.86100000003</v>
      </c>
      <c r="F11" s="544" t="s">
        <v>209</v>
      </c>
      <c r="G11" s="541">
        <f>E11*76%</f>
        <v>273529.97436000005</v>
      </c>
      <c r="H11" s="31"/>
    </row>
    <row r="12" spans="1:8" ht="32">
      <c r="A12" s="827"/>
      <c r="B12" s="16" t="s">
        <v>208</v>
      </c>
      <c r="C12" s="24" t="s">
        <v>722</v>
      </c>
      <c r="D12" s="550" t="s">
        <v>629</v>
      </c>
      <c r="E12" s="529" t="s">
        <v>625</v>
      </c>
      <c r="F12" s="542" t="s">
        <v>234</v>
      </c>
      <c r="G12" s="543">
        <f>G11/C39</f>
        <v>1.473252619570838</v>
      </c>
      <c r="H12" s="55"/>
    </row>
    <row r="13" spans="1:8">
      <c r="A13" s="827"/>
      <c r="B13" s="16" t="s">
        <v>441</v>
      </c>
      <c r="C13" s="25" t="s">
        <v>720</v>
      </c>
      <c r="D13" s="544" t="s">
        <v>630</v>
      </c>
      <c r="E13" s="547" t="e">
        <f>C7*E12</f>
        <v>#VALUE!</v>
      </c>
      <c r="F13" s="540" t="s">
        <v>632</v>
      </c>
      <c r="G13" s="541">
        <f>E11*0.3025/F5</f>
        <v>2496.0053000000003</v>
      </c>
      <c r="H13" s="20"/>
    </row>
    <row r="14" spans="1:8">
      <c r="A14" s="827"/>
      <c r="B14" s="32" t="s">
        <v>641</v>
      </c>
      <c r="C14" s="33" t="s">
        <v>721</v>
      </c>
      <c r="D14" s="549" t="s">
        <v>633</v>
      </c>
      <c r="E14" s="530" t="s">
        <v>625</v>
      </c>
      <c r="F14" s="538" t="s">
        <v>645</v>
      </c>
      <c r="G14" s="539" t="e">
        <f>E14*G13</f>
        <v>#VALUE!</v>
      </c>
      <c r="H14" s="20"/>
    </row>
    <row r="15" spans="1:8" ht="3.65" customHeight="1" thickBot="1">
      <c r="A15" s="827"/>
      <c r="B15" s="516"/>
      <c r="C15" s="517"/>
      <c r="D15" s="518"/>
      <c r="E15" s="155"/>
      <c r="F15" s="514"/>
      <c r="G15" s="519"/>
      <c r="H15" s="156"/>
    </row>
    <row r="16" spans="1:8" ht="16.5" thickTop="1">
      <c r="A16" s="877"/>
      <c r="B16" s="520" t="s">
        <v>635</v>
      </c>
      <c r="C16" s="521" t="e">
        <f>E16+G16</f>
        <v>#VALUE!</v>
      </c>
      <c r="D16" s="522" t="s">
        <v>643</v>
      </c>
      <c r="E16" s="523" t="e">
        <f>G14*F4</f>
        <v>#VALUE!</v>
      </c>
      <c r="F16" s="524" t="s">
        <v>634</v>
      </c>
      <c r="G16" s="523" t="e">
        <f>E16*30%</f>
        <v>#VALUE!</v>
      </c>
      <c r="H16" s="593"/>
    </row>
    <row r="17" spans="1:9">
      <c r="A17" s="877"/>
      <c r="B17" s="526" t="s">
        <v>638</v>
      </c>
      <c r="C17" s="527" t="e">
        <f>(E17*C7)+(G17*C8)</f>
        <v>#VALUE!</v>
      </c>
      <c r="D17" s="528" t="s">
        <v>636</v>
      </c>
      <c r="E17" s="529" t="s">
        <v>625</v>
      </c>
      <c r="F17" s="530" t="s">
        <v>637</v>
      </c>
      <c r="G17" s="529" t="s">
        <v>625</v>
      </c>
      <c r="H17" s="594"/>
    </row>
    <row r="18" spans="1:9" ht="32.5" thickBot="1">
      <c r="A18" s="877"/>
      <c r="B18" s="532" t="s">
        <v>642</v>
      </c>
      <c r="C18" s="533" t="e">
        <f>E18/E13</f>
        <v>#VALUE!</v>
      </c>
      <c r="D18" s="534" t="s">
        <v>639</v>
      </c>
      <c r="E18" s="535" t="e">
        <f>C17-C16</f>
        <v>#VALUE!</v>
      </c>
      <c r="F18" s="536" t="s">
        <v>640</v>
      </c>
      <c r="G18" s="535" t="e">
        <f>E18/C7</f>
        <v>#VALUE!</v>
      </c>
      <c r="H18" s="595"/>
    </row>
    <row r="19" spans="1:9" ht="5.25" customHeight="1" thickTop="1" thickBot="1">
      <c r="A19" s="39"/>
      <c r="B19" s="515"/>
      <c r="C19" s="41"/>
      <c r="D19" s="41"/>
      <c r="H19" s="42"/>
    </row>
    <row r="20" spans="1:9">
      <c r="A20" s="875" t="s">
        <v>49</v>
      </c>
      <c r="B20" s="43" t="s">
        <v>81</v>
      </c>
      <c r="C20" s="44" t="s">
        <v>723</v>
      </c>
      <c r="D20" s="45"/>
      <c r="E20" s="9"/>
      <c r="F20" s="9"/>
      <c r="G20" s="9"/>
      <c r="H20" s="10"/>
    </row>
    <row r="21" spans="1:9">
      <c r="A21" s="827"/>
      <c r="B21" s="25" t="s">
        <v>147</v>
      </c>
      <c r="C21" s="46" t="s">
        <v>724</v>
      </c>
      <c r="D21" s="47"/>
      <c r="E21" s="19"/>
      <c r="F21" s="19"/>
      <c r="G21" s="19"/>
      <c r="H21" s="20"/>
    </row>
    <row r="22" spans="1:9">
      <c r="A22" s="827"/>
      <c r="B22" s="597" t="s">
        <v>98</v>
      </c>
      <c r="C22" s="598" t="s">
        <v>725</v>
      </c>
      <c r="D22" s="47"/>
      <c r="E22" s="19"/>
      <c r="F22" s="19"/>
      <c r="G22" s="19"/>
      <c r="H22" s="20"/>
    </row>
    <row r="23" spans="1:9">
      <c r="A23" s="827"/>
      <c r="B23" s="25" t="s">
        <v>73</v>
      </c>
      <c r="C23" s="25" t="s">
        <v>726</v>
      </c>
      <c r="D23" s="23"/>
      <c r="E23" s="19"/>
      <c r="F23" s="19"/>
      <c r="G23" s="19"/>
      <c r="H23" s="20"/>
    </row>
    <row r="24" spans="1:9">
      <c r="A24" s="827"/>
      <c r="B24" s="25" t="s">
        <v>452</v>
      </c>
      <c r="C24" s="25" t="s">
        <v>727</v>
      </c>
      <c r="D24" s="23"/>
      <c r="E24" s="19"/>
      <c r="F24" s="19"/>
      <c r="G24" s="19"/>
      <c r="H24" s="20"/>
    </row>
    <row r="25" spans="1:9">
      <c r="A25" s="827"/>
      <c r="B25" s="25" t="s">
        <v>445</v>
      </c>
      <c r="C25" s="25" t="s">
        <v>728</v>
      </c>
      <c r="D25" s="23"/>
      <c r="E25" s="19"/>
      <c r="F25" s="19"/>
      <c r="G25" s="19"/>
      <c r="H25" s="20"/>
    </row>
    <row r="26" spans="1:9">
      <c r="A26" s="827"/>
      <c r="B26" s="25" t="s">
        <v>167</v>
      </c>
      <c r="C26" s="25" t="s">
        <v>729</v>
      </c>
      <c r="D26" s="23"/>
      <c r="E26" s="19"/>
      <c r="F26" s="19"/>
      <c r="G26" s="19"/>
      <c r="H26" s="20"/>
    </row>
    <row r="27" spans="1:9" ht="16.5" thickBot="1">
      <c r="A27" s="828"/>
      <c r="B27" s="587" t="s">
        <v>447</v>
      </c>
      <c r="C27" s="587" t="s">
        <v>730</v>
      </c>
      <c r="D27" s="48"/>
      <c r="E27" s="37"/>
      <c r="F27" s="37"/>
      <c r="G27" s="37"/>
      <c r="H27" s="38"/>
    </row>
    <row r="28" spans="1:9" ht="5.25" customHeight="1" thickBot="1">
      <c r="A28" s="39"/>
      <c r="B28" s="143"/>
      <c r="H28" s="42"/>
    </row>
    <row r="29" spans="1:9" s="5" customFormat="1">
      <c r="A29" s="875" t="s">
        <v>160</v>
      </c>
      <c r="B29" s="241" t="s">
        <v>101</v>
      </c>
      <c r="C29" s="242" t="s">
        <v>48</v>
      </c>
      <c r="D29" s="243" t="s">
        <v>125</v>
      </c>
      <c r="E29" s="602" t="s">
        <v>526</v>
      </c>
      <c r="F29" s="603" t="s">
        <v>527</v>
      </c>
      <c r="G29" s="603" t="s">
        <v>528</v>
      </c>
      <c r="H29" s="244" t="s">
        <v>454</v>
      </c>
      <c r="I29" s="599"/>
    </row>
    <row r="30" spans="1:9">
      <c r="A30" s="827"/>
      <c r="B30" s="16" t="s">
        <v>317</v>
      </c>
      <c r="C30" s="53">
        <f>38*D30</f>
        <v>5852</v>
      </c>
      <c r="D30" s="17">
        <v>154</v>
      </c>
      <c r="E30" s="592"/>
      <c r="F30" s="54"/>
      <c r="G30" s="54"/>
      <c r="H30" s="55">
        <f t="shared" ref="H30:H38" si="0">D30/$D$39</f>
        <v>5.5555555555555552E-2</v>
      </c>
      <c r="I30" s="39"/>
    </row>
    <row r="31" spans="1:9">
      <c r="A31" s="827"/>
      <c r="B31" s="16" t="s">
        <v>731</v>
      </c>
      <c r="C31" s="53">
        <f>44*D31</f>
        <v>14740</v>
      </c>
      <c r="D31" s="17">
        <v>335</v>
      </c>
      <c r="E31" s="592"/>
      <c r="F31" s="54"/>
      <c r="G31" s="54"/>
      <c r="H31" s="55">
        <f t="shared" si="0"/>
        <v>0.12085137085137085</v>
      </c>
      <c r="I31" s="39"/>
    </row>
    <row r="32" spans="1:9">
      <c r="A32" s="827"/>
      <c r="B32" s="16" t="s">
        <v>738</v>
      </c>
      <c r="C32" s="53">
        <f>44*D32</f>
        <v>0</v>
      </c>
      <c r="D32" s="17"/>
      <c r="E32" s="592"/>
      <c r="F32" s="54"/>
      <c r="G32" s="54"/>
      <c r="H32" s="55">
        <f t="shared" si="0"/>
        <v>0</v>
      </c>
      <c r="I32" s="39"/>
    </row>
    <row r="33" spans="1:11">
      <c r="A33" s="827"/>
      <c r="B33" s="16" t="s">
        <v>732</v>
      </c>
      <c r="C33" s="53">
        <f>59*D33</f>
        <v>34456</v>
      </c>
      <c r="D33" s="17">
        <v>584</v>
      </c>
      <c r="E33" s="592"/>
      <c r="F33" s="54"/>
      <c r="G33" s="54"/>
      <c r="H33" s="55">
        <f t="shared" si="0"/>
        <v>0.21067821067821069</v>
      </c>
      <c r="I33" s="39"/>
    </row>
    <row r="34" spans="1:11">
      <c r="A34" s="827"/>
      <c r="B34" s="16" t="s">
        <v>733</v>
      </c>
      <c r="C34" s="53">
        <f>59*D34</f>
        <v>0</v>
      </c>
      <c r="D34" s="17"/>
      <c r="E34" s="592"/>
      <c r="F34" s="54"/>
      <c r="G34" s="54"/>
      <c r="H34" s="55">
        <f t="shared" si="0"/>
        <v>0</v>
      </c>
      <c r="I34" s="39"/>
    </row>
    <row r="35" spans="1:11">
      <c r="A35" s="827"/>
      <c r="B35" s="16" t="s">
        <v>734</v>
      </c>
      <c r="C35" s="53">
        <f>74*D35</f>
        <v>89540</v>
      </c>
      <c r="D35" s="17">
        <v>1210</v>
      </c>
      <c r="E35" s="592"/>
      <c r="F35" s="54"/>
      <c r="G35" s="54"/>
      <c r="H35" s="55">
        <f t="shared" si="0"/>
        <v>0.43650793650793651</v>
      </c>
      <c r="I35" s="39"/>
    </row>
    <row r="36" spans="1:11">
      <c r="A36" s="827"/>
      <c r="B36" s="16" t="s">
        <v>735</v>
      </c>
      <c r="C36" s="53">
        <f>74*D36</f>
        <v>0</v>
      </c>
      <c r="D36" s="17"/>
      <c r="E36" s="592"/>
      <c r="F36" s="54"/>
      <c r="G36" s="54"/>
      <c r="H36" s="55">
        <f t="shared" si="0"/>
        <v>0</v>
      </c>
      <c r="I36" s="39"/>
    </row>
    <row r="37" spans="1:11">
      <c r="A37" s="827"/>
      <c r="B37" s="16" t="s">
        <v>736</v>
      </c>
      <c r="C37" s="53">
        <f>84*D37</f>
        <v>41076</v>
      </c>
      <c r="D37" s="17">
        <v>489</v>
      </c>
      <c r="E37" s="592"/>
      <c r="F37" s="54"/>
      <c r="G37" s="54"/>
      <c r="H37" s="55">
        <f t="shared" si="0"/>
        <v>0.1764069264069264</v>
      </c>
      <c r="I37" s="39"/>
    </row>
    <row r="38" spans="1:11">
      <c r="A38" s="827"/>
      <c r="B38" s="16" t="s">
        <v>737</v>
      </c>
      <c r="C38" s="53">
        <f>84*D38</f>
        <v>0</v>
      </c>
      <c r="D38" s="17"/>
      <c r="E38" s="592"/>
      <c r="F38" s="54"/>
      <c r="G38" s="54"/>
      <c r="H38" s="55">
        <f t="shared" si="0"/>
        <v>0</v>
      </c>
      <c r="I38" s="39"/>
    </row>
    <row r="39" spans="1:11" ht="16.5" thickBot="1">
      <c r="A39" s="828"/>
      <c r="B39" s="56" t="s">
        <v>462</v>
      </c>
      <c r="C39" s="57">
        <f t="shared" ref="C39:H39" si="1">SUM(C30:C38)</f>
        <v>185664</v>
      </c>
      <c r="D39" s="58">
        <f t="shared" si="1"/>
        <v>2772</v>
      </c>
      <c r="E39" s="604">
        <f t="shared" si="1"/>
        <v>0</v>
      </c>
      <c r="F39" s="59">
        <f t="shared" si="1"/>
        <v>0</v>
      </c>
      <c r="G39" s="59">
        <f t="shared" si="1"/>
        <v>0</v>
      </c>
      <c r="H39" s="60">
        <f t="shared" si="1"/>
        <v>1</v>
      </c>
      <c r="I39" s="600"/>
      <c r="J39" s="601"/>
      <c r="K39" s="601"/>
    </row>
    <row r="40" spans="1:11" ht="4.5" customHeight="1" thickBot="1">
      <c r="A40" s="39"/>
      <c r="B40" s="515"/>
      <c r="H40" s="42"/>
    </row>
    <row r="41" spans="1:11" s="2" customFormat="1">
      <c r="A41" s="879" t="s">
        <v>393</v>
      </c>
      <c r="B41" s="241" t="s">
        <v>101</v>
      </c>
      <c r="C41" s="243" t="s">
        <v>901</v>
      </c>
      <c r="D41" s="243" t="s">
        <v>902</v>
      </c>
      <c r="E41" s="243" t="s">
        <v>43</v>
      </c>
      <c r="F41" s="243" t="s">
        <v>903</v>
      </c>
      <c r="G41" s="245" t="s">
        <v>46</v>
      </c>
      <c r="H41" s="246" t="s">
        <v>470</v>
      </c>
    </row>
    <row r="42" spans="1:11" ht="16.5" customHeight="1">
      <c r="A42" s="880"/>
      <c r="B42" s="16" t="s">
        <v>317</v>
      </c>
      <c r="C42" s="62"/>
      <c r="D42" s="63"/>
      <c r="E42" s="252"/>
      <c r="F42" s="63"/>
      <c r="G42" s="252"/>
      <c r="H42" s="31"/>
    </row>
    <row r="43" spans="1:11" ht="16.5" customHeight="1">
      <c r="A43" s="880"/>
      <c r="B43" s="16" t="s">
        <v>731</v>
      </c>
      <c r="C43" s="62"/>
      <c r="D43" s="63"/>
      <c r="E43" s="252">
        <f>(D43-C43)*25</f>
        <v>0</v>
      </c>
      <c r="F43" s="63"/>
      <c r="G43" s="252">
        <f>(F43-C43)*25</f>
        <v>0</v>
      </c>
      <c r="H43" s="31"/>
    </row>
    <row r="44" spans="1:11" ht="16.5" customHeight="1">
      <c r="A44" s="880"/>
      <c r="B44" s="16" t="s">
        <v>738</v>
      </c>
      <c r="C44" s="62"/>
      <c r="D44" s="63"/>
      <c r="E44" s="252">
        <f>(D44-C44)*25</f>
        <v>0</v>
      </c>
      <c r="F44" s="63"/>
      <c r="G44" s="252">
        <f>(F44-C44)*25</f>
        <v>0</v>
      </c>
      <c r="H44" s="31"/>
    </row>
    <row r="45" spans="1:11" ht="16.5" customHeight="1">
      <c r="A45" s="880"/>
      <c r="B45" s="16" t="s">
        <v>732</v>
      </c>
      <c r="C45" s="62"/>
      <c r="D45" s="63"/>
      <c r="E45" s="252">
        <f>(D45-C45)*34</f>
        <v>0</v>
      </c>
      <c r="F45" s="63"/>
      <c r="G45" s="252">
        <f>(F45-C45)*34</f>
        <v>0</v>
      </c>
      <c r="H45" s="31"/>
    </row>
    <row r="46" spans="1:11" ht="16.5" customHeight="1">
      <c r="A46" s="880"/>
      <c r="B46" s="16" t="s">
        <v>733</v>
      </c>
      <c r="C46" s="62"/>
      <c r="D46" s="63"/>
      <c r="E46" s="252">
        <f>(D46-C46)*34</f>
        <v>0</v>
      </c>
      <c r="F46" s="63"/>
      <c r="G46" s="252">
        <f>(F46-C46)*34</f>
        <v>0</v>
      </c>
      <c r="H46" s="31"/>
    </row>
    <row r="47" spans="1:11" ht="16.5" customHeight="1">
      <c r="A47" s="880"/>
      <c r="B47" s="16" t="s">
        <v>734</v>
      </c>
      <c r="C47" s="62"/>
      <c r="D47" s="63"/>
      <c r="E47" s="252">
        <f>(D47-C47)*39</f>
        <v>0</v>
      </c>
      <c r="F47" s="63"/>
      <c r="G47" s="252">
        <f>(F47-C47)*39</f>
        <v>0</v>
      </c>
      <c r="H47" s="31"/>
      <c r="J47" s="69"/>
    </row>
    <row r="48" spans="1:11" ht="16.5" customHeight="1">
      <c r="A48" s="880"/>
      <c r="B48" s="16" t="s">
        <v>735</v>
      </c>
      <c r="C48" s="62"/>
      <c r="D48" s="63"/>
      <c r="E48" s="252">
        <f>(D48-C48)*39</f>
        <v>0</v>
      </c>
      <c r="F48" s="63"/>
      <c r="G48" s="252">
        <f>(F48-C48)*39</f>
        <v>0</v>
      </c>
      <c r="H48" s="31"/>
    </row>
    <row r="49" spans="1:11" ht="16.5" customHeight="1" thickBot="1">
      <c r="A49" s="880"/>
      <c r="B49" s="16" t="s">
        <v>736</v>
      </c>
      <c r="C49" s="729">
        <f>F49*70%</f>
        <v>15413999.999999998</v>
      </c>
      <c r="D49" s="437">
        <f>F49-2000000</f>
        <v>20020000</v>
      </c>
      <c r="E49" s="252">
        <f>(D49-C49)*39</f>
        <v>179634000.00000006</v>
      </c>
      <c r="F49" s="723">
        <v>22020000</v>
      </c>
      <c r="G49" s="252">
        <f>(F49-C49)*39</f>
        <v>257634000.00000006</v>
      </c>
      <c r="H49" s="31" t="s">
        <v>1167</v>
      </c>
    </row>
    <row r="50" spans="1:11" ht="16.5" customHeight="1" thickBot="1">
      <c r="A50" s="881"/>
      <c r="B50" s="16" t="s">
        <v>737</v>
      </c>
      <c r="C50" s="64"/>
      <c r="D50" s="65"/>
      <c r="E50" s="252">
        <f>(D50-C50)*39</f>
        <v>0</v>
      </c>
      <c r="F50" s="63"/>
      <c r="G50" s="252">
        <f>(F50-C50)*39</f>
        <v>0</v>
      </c>
      <c r="H50" s="66"/>
    </row>
    <row r="51" spans="1:11" ht="5.25" customHeight="1" thickBot="1">
      <c r="A51" s="596"/>
      <c r="B51" s="143"/>
      <c r="C51" s="68"/>
      <c r="D51" s="69"/>
      <c r="E51" s="69"/>
      <c r="F51" s="69"/>
      <c r="G51" s="69"/>
      <c r="H51" s="42"/>
    </row>
    <row r="52" spans="1:11" ht="58.5" customHeight="1">
      <c r="A52" s="833" t="s">
        <v>257</v>
      </c>
      <c r="B52" s="243" t="s">
        <v>101</v>
      </c>
      <c r="C52" s="508" t="s">
        <v>1395</v>
      </c>
      <c r="D52" s="247" t="s">
        <v>247</v>
      </c>
      <c r="E52" s="247" t="s">
        <v>322</v>
      </c>
      <c r="F52" s="247" t="s">
        <v>222</v>
      </c>
      <c r="G52" s="247" t="s">
        <v>367</v>
      </c>
      <c r="H52" s="243" t="s">
        <v>470</v>
      </c>
      <c r="I52" s="824" t="s">
        <v>1206</v>
      </c>
    </row>
    <row r="53" spans="1:11" ht="15" customHeight="1">
      <c r="A53" s="878"/>
      <c r="B53" s="25" t="s">
        <v>317</v>
      </c>
      <c r="C53" s="71"/>
      <c r="D53" s="62">
        <f t="shared" ref="D53:D61" si="2">E42</f>
        <v>0</v>
      </c>
      <c r="E53" s="253">
        <f t="shared" ref="E53:E61" si="3">D53-C53</f>
        <v>0</v>
      </c>
      <c r="F53" s="62">
        <f t="shared" ref="F53:F61" si="4">G42</f>
        <v>0</v>
      </c>
      <c r="G53" s="253">
        <f t="shared" ref="G53:G61" si="5">F53-C53</f>
        <v>0</v>
      </c>
      <c r="H53" s="62"/>
      <c r="I53" s="825"/>
    </row>
    <row r="54" spans="1:11">
      <c r="A54" s="834"/>
      <c r="B54" s="25" t="s">
        <v>731</v>
      </c>
      <c r="C54" s="71"/>
      <c r="D54" s="62">
        <f t="shared" si="2"/>
        <v>0</v>
      </c>
      <c r="E54" s="253">
        <f t="shared" si="3"/>
        <v>0</v>
      </c>
      <c r="F54" s="62">
        <f t="shared" si="4"/>
        <v>0</v>
      </c>
      <c r="G54" s="253">
        <f t="shared" si="5"/>
        <v>0</v>
      </c>
      <c r="H54" s="62"/>
      <c r="I54" s="825"/>
    </row>
    <row r="55" spans="1:11">
      <c r="A55" s="834"/>
      <c r="B55" s="25" t="s">
        <v>738</v>
      </c>
      <c r="C55" s="71"/>
      <c r="D55" s="62">
        <f t="shared" si="2"/>
        <v>0</v>
      </c>
      <c r="E55" s="253">
        <f t="shared" si="3"/>
        <v>0</v>
      </c>
      <c r="F55" s="62">
        <f t="shared" si="4"/>
        <v>0</v>
      </c>
      <c r="G55" s="253">
        <f t="shared" si="5"/>
        <v>0</v>
      </c>
      <c r="H55" s="62"/>
      <c r="I55" s="825"/>
    </row>
    <row r="56" spans="1:11">
      <c r="A56" s="834"/>
      <c r="B56" s="25" t="s">
        <v>732</v>
      </c>
      <c r="C56" s="71"/>
      <c r="D56" s="62">
        <f t="shared" si="2"/>
        <v>0</v>
      </c>
      <c r="E56" s="253">
        <f t="shared" si="3"/>
        <v>0</v>
      </c>
      <c r="F56" s="62">
        <f t="shared" si="4"/>
        <v>0</v>
      </c>
      <c r="G56" s="253">
        <f t="shared" si="5"/>
        <v>0</v>
      </c>
      <c r="H56" s="62"/>
      <c r="I56" s="825"/>
    </row>
    <row r="57" spans="1:11">
      <c r="A57" s="834"/>
      <c r="B57" s="25" t="s">
        <v>733</v>
      </c>
      <c r="C57" s="71"/>
      <c r="D57" s="62">
        <f t="shared" si="2"/>
        <v>0</v>
      </c>
      <c r="E57" s="253">
        <f t="shared" si="3"/>
        <v>0</v>
      </c>
      <c r="F57" s="62">
        <f t="shared" si="4"/>
        <v>0</v>
      </c>
      <c r="G57" s="253">
        <f t="shared" si="5"/>
        <v>0</v>
      </c>
      <c r="H57" s="62"/>
      <c r="I57" s="825"/>
    </row>
    <row r="58" spans="1:11">
      <c r="A58" s="834"/>
      <c r="B58" s="25" t="s">
        <v>734</v>
      </c>
      <c r="C58" s="71"/>
      <c r="D58" s="62">
        <f t="shared" si="2"/>
        <v>0</v>
      </c>
      <c r="E58" s="253">
        <f t="shared" si="3"/>
        <v>0</v>
      </c>
      <c r="F58" s="62">
        <f t="shared" si="4"/>
        <v>0</v>
      </c>
      <c r="G58" s="253">
        <f t="shared" si="5"/>
        <v>0</v>
      </c>
      <c r="H58" s="62"/>
      <c r="I58" s="825"/>
    </row>
    <row r="59" spans="1:11">
      <c r="A59" s="834"/>
      <c r="B59" s="25" t="s">
        <v>735</v>
      </c>
      <c r="C59" s="71"/>
      <c r="D59" s="62">
        <f t="shared" si="2"/>
        <v>0</v>
      </c>
      <c r="E59" s="253">
        <f>D59-C59</f>
        <v>0</v>
      </c>
      <c r="F59" s="62">
        <f t="shared" si="4"/>
        <v>0</v>
      </c>
      <c r="G59" s="253">
        <f>F59-C59</f>
        <v>0</v>
      </c>
      <c r="H59" s="62"/>
      <c r="I59" s="825"/>
    </row>
    <row r="60" spans="1:11" ht="17">
      <c r="A60" s="834"/>
      <c r="B60" s="25" t="s">
        <v>736</v>
      </c>
      <c r="C60" s="71">
        <v>270000000</v>
      </c>
      <c r="D60" s="62">
        <f t="shared" si="2"/>
        <v>179634000.00000006</v>
      </c>
      <c r="E60" s="253">
        <f t="shared" si="3"/>
        <v>-90365999.99999994</v>
      </c>
      <c r="F60" s="62">
        <f t="shared" si="4"/>
        <v>257634000.00000006</v>
      </c>
      <c r="G60" s="253">
        <f t="shared" si="5"/>
        <v>-12365999.99999994</v>
      </c>
      <c r="H60" s="62">
        <f>(C60+(C49*34))/34</f>
        <v>23355176.470588237</v>
      </c>
      <c r="I60" s="751">
        <f>H60/F49</f>
        <v>1.0606347171020998</v>
      </c>
    </row>
    <row r="61" spans="1:11" ht="16.5" thickBot="1">
      <c r="A61" s="836"/>
      <c r="B61" s="716" t="s">
        <v>737</v>
      </c>
      <c r="C61" s="74"/>
      <c r="D61" s="64">
        <f t="shared" si="2"/>
        <v>0</v>
      </c>
      <c r="E61" s="255">
        <f t="shared" si="3"/>
        <v>0</v>
      </c>
      <c r="F61" s="64">
        <f t="shared" si="4"/>
        <v>0</v>
      </c>
      <c r="G61" s="255">
        <f t="shared" si="5"/>
        <v>0</v>
      </c>
      <c r="H61" s="64"/>
      <c r="I61" s="66"/>
    </row>
    <row r="62" spans="1:11" ht="5" customHeight="1" thickBot="1">
      <c r="A62" s="39"/>
      <c r="H62" s="42"/>
    </row>
    <row r="63" spans="1:11" ht="22.75" customHeight="1">
      <c r="A63" s="833" t="s">
        <v>598</v>
      </c>
      <c r="B63" s="243" t="s">
        <v>599</v>
      </c>
      <c r="C63" s="242" t="s">
        <v>857</v>
      </c>
      <c r="D63" s="815" t="s">
        <v>600</v>
      </c>
      <c r="E63" s="816"/>
      <c r="F63" s="816"/>
      <c r="G63" s="816"/>
      <c r="H63" s="817"/>
      <c r="I63" s="5"/>
      <c r="J63" s="5"/>
      <c r="K63" s="5"/>
    </row>
    <row r="64" spans="1:11" ht="22.75" customHeight="1">
      <c r="A64" s="834"/>
      <c r="B64" s="165" t="s">
        <v>1108</v>
      </c>
      <c r="C64" s="709">
        <v>1100</v>
      </c>
      <c r="D64" s="492"/>
      <c r="H64" s="42"/>
    </row>
    <row r="65" spans="1:8" ht="22.75" customHeight="1">
      <c r="A65" s="835"/>
      <c r="B65" s="165" t="s">
        <v>601</v>
      </c>
      <c r="C65" s="710">
        <v>1300</v>
      </c>
      <c r="D65" s="492"/>
      <c r="H65" s="42"/>
    </row>
    <row r="66" spans="1:8" ht="22.75" customHeight="1">
      <c r="A66" s="835"/>
      <c r="B66" s="165" t="s">
        <v>602</v>
      </c>
      <c r="C66" s="710">
        <v>1700</v>
      </c>
      <c r="D66" s="492"/>
      <c r="H66" s="42"/>
    </row>
    <row r="67" spans="1:8" ht="22.75" customHeight="1">
      <c r="A67" s="835"/>
      <c r="B67" s="165" t="s">
        <v>603</v>
      </c>
      <c r="C67" s="710">
        <v>2058</v>
      </c>
      <c r="D67" s="492"/>
      <c r="H67" s="42"/>
    </row>
    <row r="68" spans="1:8" ht="22.75" customHeight="1">
      <c r="A68" s="835"/>
      <c r="B68" s="165" t="s">
        <v>604</v>
      </c>
      <c r="C68" s="710">
        <v>2512</v>
      </c>
      <c r="D68" s="492"/>
      <c r="H68" s="42"/>
    </row>
    <row r="69" spans="1:8" ht="22.75" customHeight="1">
      <c r="A69" s="835"/>
      <c r="B69" s="165" t="s">
        <v>1458</v>
      </c>
      <c r="C69" s="710">
        <f>H60/10000</f>
        <v>2335.5176470588235</v>
      </c>
      <c r="D69" s="492"/>
      <c r="H69" s="42"/>
    </row>
    <row r="70" spans="1:8" ht="22.75" customHeight="1">
      <c r="A70" s="835"/>
      <c r="B70" s="165" t="s">
        <v>1462</v>
      </c>
      <c r="C70" s="710"/>
      <c r="D70" s="492"/>
      <c r="H70" s="42"/>
    </row>
    <row r="71" spans="1:8" ht="22.75" customHeight="1">
      <c r="A71" s="835"/>
      <c r="B71" s="165" t="s">
        <v>1463</v>
      </c>
      <c r="C71" s="710"/>
      <c r="D71" s="492"/>
      <c r="H71" s="42"/>
    </row>
    <row r="72" spans="1:8" ht="22.75" customHeight="1">
      <c r="A72" s="835"/>
      <c r="B72" s="165" t="s">
        <v>1464</v>
      </c>
      <c r="C72" s="710"/>
      <c r="D72" s="492"/>
      <c r="H72" s="42"/>
    </row>
    <row r="73" spans="1:8" ht="22.75" customHeight="1">
      <c r="A73" s="835"/>
      <c r="B73" s="165" t="s">
        <v>1468</v>
      </c>
      <c r="C73" s="710"/>
      <c r="D73" s="492"/>
      <c r="H73" s="42"/>
    </row>
    <row r="74" spans="1:8" ht="22.75" customHeight="1" thickBot="1">
      <c r="A74" s="836"/>
      <c r="B74" s="490" t="s">
        <v>614</v>
      </c>
      <c r="C74" s="711"/>
      <c r="D74" s="493"/>
      <c r="E74" s="486"/>
      <c r="F74" s="486"/>
      <c r="G74" s="486"/>
      <c r="H74" s="487"/>
    </row>
    <row r="75" spans="1:8" ht="5.5" customHeight="1" thickBot="1">
      <c r="A75" s="585"/>
      <c r="B75" s="589"/>
      <c r="C75" s="590"/>
      <c r="D75" s="591"/>
      <c r="H75" s="42"/>
    </row>
    <row r="76" spans="1:8">
      <c r="A76" s="826" t="s">
        <v>650</v>
      </c>
      <c r="B76" s="582" t="s">
        <v>739</v>
      </c>
      <c r="C76" s="565"/>
      <c r="D76" s="566"/>
      <c r="E76" s="559"/>
      <c r="F76" s="559"/>
      <c r="G76" s="559"/>
      <c r="H76" s="567"/>
    </row>
    <row r="77" spans="1:8">
      <c r="A77" s="827"/>
      <c r="B77" s="206" t="s">
        <v>740</v>
      </c>
      <c r="C77" s="78"/>
      <c r="D77" s="79"/>
      <c r="E77" s="76"/>
      <c r="F77" s="76"/>
      <c r="G77" s="76"/>
      <c r="H77" s="114"/>
    </row>
    <row r="78" spans="1:8">
      <c r="A78" s="827"/>
      <c r="B78" s="206" t="s">
        <v>741</v>
      </c>
      <c r="C78" s="78"/>
      <c r="D78" s="79"/>
      <c r="E78" s="76"/>
      <c r="F78" s="76"/>
      <c r="G78" s="76"/>
      <c r="H78" s="114"/>
    </row>
    <row r="79" spans="1:8">
      <c r="A79" s="827"/>
      <c r="B79" s="206" t="s">
        <v>742</v>
      </c>
      <c r="C79" s="78"/>
      <c r="D79" s="79"/>
      <c r="E79" s="76"/>
      <c r="F79" s="76"/>
      <c r="G79" s="76"/>
      <c r="H79" s="114"/>
    </row>
    <row r="80" spans="1:8">
      <c r="A80" s="827"/>
      <c r="B80" s="206"/>
      <c r="C80" s="78"/>
      <c r="D80" s="79"/>
      <c r="E80" s="76"/>
      <c r="F80" s="76"/>
      <c r="G80" s="76"/>
      <c r="H80" s="114"/>
    </row>
    <row r="81" spans="1:8">
      <c r="A81" s="827"/>
      <c r="B81" s="206"/>
      <c r="C81" s="78"/>
      <c r="D81" s="79"/>
      <c r="E81" s="76"/>
      <c r="F81" s="76"/>
      <c r="G81" s="76"/>
      <c r="H81" s="114"/>
    </row>
    <row r="82" spans="1:8">
      <c r="A82" s="827"/>
      <c r="B82" s="206"/>
      <c r="C82" s="78"/>
      <c r="D82" s="79"/>
      <c r="E82" s="76"/>
      <c r="F82" s="76"/>
      <c r="G82" s="76"/>
      <c r="H82" s="114"/>
    </row>
    <row r="83" spans="1:8" ht="16.5" thickBot="1">
      <c r="A83" s="828"/>
      <c r="B83" s="568"/>
      <c r="C83" s="569"/>
      <c r="D83" s="570"/>
      <c r="E83" s="571"/>
      <c r="F83" s="571"/>
      <c r="G83" s="571"/>
      <c r="H83" s="572"/>
    </row>
  </sheetData>
  <mergeCells count="15">
    <mergeCell ref="A1:H1"/>
    <mergeCell ref="A2:A18"/>
    <mergeCell ref="C4:D4"/>
    <mergeCell ref="D5:E5"/>
    <mergeCell ref="G5:H5"/>
    <mergeCell ref="G6:H6"/>
    <mergeCell ref="F8:H8"/>
    <mergeCell ref="I52:I59"/>
    <mergeCell ref="A76:A83"/>
    <mergeCell ref="A63:A74"/>
    <mergeCell ref="D63:H63"/>
    <mergeCell ref="A20:A27"/>
    <mergeCell ref="A29:A39"/>
    <mergeCell ref="A41:A50"/>
    <mergeCell ref="A52:A61"/>
  </mergeCells>
  <phoneticPr fontId="16" type="noConversion"/>
  <pageMargins left="0.69972223043441772" right="0.69972223043441772" top="0.75" bottom="0.75" header="0.30000001192092896" footer="0.30000001192092896"/>
  <pageSetup paperSize="9" scale="86" orientation="portrait" horizontalDpi="4294967293" verticalDpi="4294967293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L75"/>
  <sheetViews>
    <sheetView showGridLines="0" topLeftCell="A48" zoomScale="85" zoomScaleNormal="85" zoomScaleSheetLayoutView="120" workbookViewId="0">
      <selection activeCell="C61" sqref="C61"/>
    </sheetView>
  </sheetViews>
  <sheetFormatPr defaultColWidth="13.4140625" defaultRowHeight="16"/>
  <cols>
    <col min="1" max="1" width="4.83203125" style="1" bestFit="1" customWidth="1"/>
    <col min="2" max="2" width="16.9140625" style="2" customWidth="1"/>
    <col min="3" max="3" width="23.1640625" style="3" customWidth="1"/>
    <col min="4" max="4" width="18.25" style="4" bestFit="1" customWidth="1"/>
    <col min="5" max="5" width="13.08203125" style="1" bestFit="1" customWidth="1"/>
    <col min="6" max="6" width="15.75" style="1" bestFit="1" customWidth="1"/>
    <col min="7" max="7" width="14" style="1" bestFit="1" customWidth="1"/>
    <col min="8" max="8" width="12.1640625" style="1" bestFit="1" customWidth="1"/>
    <col min="9" max="9" width="26.33203125" style="1" bestFit="1" customWidth="1"/>
    <col min="10" max="16384" width="13.4140625" style="1"/>
  </cols>
  <sheetData>
    <row r="1" spans="1:8" ht="30.75" customHeight="1" thickBot="1">
      <c r="A1" s="913" t="s">
        <v>866</v>
      </c>
      <c r="B1" s="914"/>
      <c r="C1" s="914"/>
      <c r="D1" s="914"/>
      <c r="E1" s="914"/>
      <c r="F1" s="914"/>
      <c r="G1" s="914"/>
      <c r="H1" s="915"/>
    </row>
    <row r="2" spans="1:8">
      <c r="A2" s="821" t="s">
        <v>112</v>
      </c>
      <c r="B2" s="6" t="s">
        <v>420</v>
      </c>
      <c r="C2" s="7"/>
      <c r="D2" s="150"/>
      <c r="E2" s="9"/>
      <c r="F2" s="9"/>
      <c r="G2" s="9"/>
      <c r="H2" s="10"/>
    </row>
    <row r="3" spans="1:8">
      <c r="A3" s="829"/>
      <c r="B3" s="11" t="s">
        <v>471</v>
      </c>
      <c r="C3" s="856" t="s">
        <v>867</v>
      </c>
      <c r="D3" s="857"/>
      <c r="E3" s="14"/>
      <c r="F3" s="14"/>
      <c r="G3" s="14"/>
      <c r="H3" s="15"/>
    </row>
    <row r="4" spans="1:8">
      <c r="A4" s="829"/>
      <c r="B4" s="11" t="s">
        <v>407</v>
      </c>
      <c r="C4" s="856" t="s">
        <v>868</v>
      </c>
      <c r="D4" s="857"/>
      <c r="E4" s="14"/>
      <c r="F4" s="14"/>
      <c r="G4" s="14"/>
      <c r="H4" s="15"/>
    </row>
    <row r="5" spans="1:8">
      <c r="A5" s="822"/>
      <c r="B5" s="16" t="s">
        <v>99</v>
      </c>
      <c r="C5" s="17">
        <v>46610.5</v>
      </c>
      <c r="D5" s="858" t="s">
        <v>250</v>
      </c>
      <c r="E5" s="859"/>
      <c r="F5" s="250" t="e">
        <f>C5*0.3025/C7</f>
        <v>#DIV/0!</v>
      </c>
      <c r="G5" s="916" t="s">
        <v>522</v>
      </c>
      <c r="H5" s="917"/>
    </row>
    <row r="6" spans="1:8">
      <c r="A6" s="822"/>
      <c r="B6" s="16" t="s">
        <v>425</v>
      </c>
      <c r="C6" s="17">
        <v>4</v>
      </c>
      <c r="D6" s="18"/>
      <c r="E6" s="19"/>
      <c r="F6" s="19"/>
      <c r="G6" s="19"/>
      <c r="H6" s="20"/>
    </row>
    <row r="7" spans="1:8">
      <c r="A7" s="822"/>
      <c r="B7" s="16" t="s">
        <v>121</v>
      </c>
      <c r="C7" s="17"/>
      <c r="D7" s="21" t="s">
        <v>39</v>
      </c>
      <c r="E7" s="22">
        <f>C7/C9</f>
        <v>0</v>
      </c>
      <c r="F7" s="18"/>
      <c r="G7" s="19"/>
      <c r="H7" s="20"/>
    </row>
    <row r="8" spans="1:8">
      <c r="A8" s="822"/>
      <c r="B8" s="16" t="s">
        <v>54</v>
      </c>
      <c r="C8" s="249"/>
      <c r="D8" s="21" t="s">
        <v>145</v>
      </c>
      <c r="E8" s="251">
        <f>C8/C9</f>
        <v>0</v>
      </c>
      <c r="F8" s="863" t="s">
        <v>29</v>
      </c>
      <c r="G8" s="864"/>
      <c r="H8" s="865"/>
    </row>
    <row r="9" spans="1:8">
      <c r="A9" s="822"/>
      <c r="B9" s="16" t="s">
        <v>125</v>
      </c>
      <c r="C9" s="17">
        <v>1750</v>
      </c>
      <c r="D9" s="23"/>
      <c r="E9" s="19"/>
      <c r="F9" s="19"/>
      <c r="G9" s="19"/>
      <c r="H9" s="20"/>
    </row>
    <row r="10" spans="1:8">
      <c r="A10" s="822"/>
      <c r="B10" s="16" t="s">
        <v>427</v>
      </c>
      <c r="C10" s="24" t="s">
        <v>869</v>
      </c>
      <c r="D10" s="25" t="s">
        <v>84</v>
      </c>
      <c r="E10" s="26" t="e">
        <f>C5*C10</f>
        <v>#VALUE!</v>
      </c>
      <c r="F10" s="27" t="s">
        <v>41</v>
      </c>
      <c r="G10" s="28" t="e">
        <f>E11/E10</f>
        <v>#VALUE!</v>
      </c>
      <c r="H10" s="29"/>
    </row>
    <row r="11" spans="1:8">
      <c r="A11" s="822"/>
      <c r="B11" s="16" t="s">
        <v>466</v>
      </c>
      <c r="C11" s="24" t="s">
        <v>869</v>
      </c>
      <c r="D11" s="25" t="s">
        <v>91</v>
      </c>
      <c r="E11" s="30" t="e">
        <f>C5*C11</f>
        <v>#VALUE!</v>
      </c>
      <c r="F11" s="27" t="s">
        <v>209</v>
      </c>
      <c r="G11" s="28" t="e">
        <f>E11*76%</f>
        <v>#VALUE!</v>
      </c>
      <c r="H11" s="31"/>
    </row>
    <row r="12" spans="1:8">
      <c r="A12" s="822"/>
      <c r="B12" s="16" t="s">
        <v>208</v>
      </c>
      <c r="C12" s="152" t="s">
        <v>387</v>
      </c>
      <c r="D12" s="18"/>
      <c r="E12" s="19"/>
      <c r="F12" s="858" t="s">
        <v>234</v>
      </c>
      <c r="G12" s="859"/>
      <c r="H12" s="55" t="e">
        <f>G11/C35</f>
        <v>#VALUE!</v>
      </c>
    </row>
    <row r="13" spans="1:8">
      <c r="A13" s="822"/>
      <c r="B13" s="16" t="s">
        <v>441</v>
      </c>
      <c r="C13" s="165"/>
      <c r="D13" s="18"/>
      <c r="E13" s="19"/>
      <c r="F13" s="863" t="s">
        <v>392</v>
      </c>
      <c r="G13" s="864"/>
      <c r="H13" s="865"/>
    </row>
    <row r="14" spans="1:8">
      <c r="A14" s="822"/>
      <c r="B14" s="32" t="s">
        <v>467</v>
      </c>
      <c r="C14" s="166" t="s">
        <v>869</v>
      </c>
      <c r="D14" s="34"/>
      <c r="E14" s="19"/>
      <c r="F14" s="19"/>
      <c r="G14" s="19"/>
      <c r="H14" s="20"/>
    </row>
    <row r="15" spans="1:8" ht="16.5" thickBot="1">
      <c r="A15" s="823"/>
      <c r="B15" s="640"/>
      <c r="C15" s="640"/>
      <c r="D15" s="36"/>
      <c r="E15" s="37"/>
      <c r="F15" s="37"/>
      <c r="G15" s="37"/>
      <c r="H15" s="38"/>
    </row>
    <row r="16" spans="1:8" ht="5.25" customHeight="1" thickBot="1">
      <c r="A16" s="39"/>
      <c r="B16" s="40"/>
      <c r="C16" s="41"/>
      <c r="D16" s="41"/>
      <c r="H16" s="42"/>
    </row>
    <row r="17" spans="1:8">
      <c r="A17" s="875" t="s">
        <v>49</v>
      </c>
      <c r="B17" s="43" t="s">
        <v>81</v>
      </c>
      <c r="C17" s="44" t="s">
        <v>870</v>
      </c>
      <c r="D17" s="45"/>
      <c r="E17" s="9"/>
      <c r="F17" s="9"/>
      <c r="G17" s="9"/>
      <c r="H17" s="10"/>
    </row>
    <row r="18" spans="1:8">
      <c r="A18" s="827"/>
      <c r="B18" s="25" t="s">
        <v>147</v>
      </c>
      <c r="C18" s="46" t="s">
        <v>871</v>
      </c>
      <c r="D18" s="47"/>
      <c r="E18" s="19"/>
      <c r="F18" s="19"/>
      <c r="G18" s="19"/>
      <c r="H18" s="20"/>
    </row>
    <row r="19" spans="1:8">
      <c r="A19" s="827"/>
      <c r="B19" s="25" t="s">
        <v>98</v>
      </c>
      <c r="C19" s="46" t="s">
        <v>1101</v>
      </c>
      <c r="D19" s="47"/>
      <c r="E19" s="19"/>
      <c r="F19" s="19"/>
      <c r="G19" s="19"/>
      <c r="H19" s="20"/>
    </row>
    <row r="20" spans="1:8">
      <c r="A20" s="827"/>
      <c r="B20" s="25" t="s">
        <v>73</v>
      </c>
      <c r="C20" s="25" t="s">
        <v>1095</v>
      </c>
      <c r="D20" s="23"/>
      <c r="E20" s="19"/>
      <c r="F20" s="19"/>
      <c r="G20" s="19"/>
      <c r="H20" s="20"/>
    </row>
    <row r="21" spans="1:8">
      <c r="A21" s="827"/>
      <c r="B21" s="25" t="s">
        <v>452</v>
      </c>
      <c r="C21" s="25" t="s">
        <v>1096</v>
      </c>
      <c r="D21" s="23"/>
      <c r="E21" s="19"/>
      <c r="F21" s="19"/>
      <c r="G21" s="19"/>
      <c r="H21" s="20"/>
    </row>
    <row r="22" spans="1:8">
      <c r="A22" s="827"/>
      <c r="B22" s="25" t="s">
        <v>445</v>
      </c>
      <c r="C22" s="25" t="s">
        <v>1097</v>
      </c>
      <c r="D22" s="23"/>
      <c r="E22" s="19"/>
      <c r="F22" s="19"/>
      <c r="G22" s="19"/>
      <c r="H22" s="20"/>
    </row>
    <row r="23" spans="1:8">
      <c r="A23" s="827"/>
      <c r="B23" s="25" t="s">
        <v>167</v>
      </c>
      <c r="C23" s="25" t="s">
        <v>1102</v>
      </c>
      <c r="D23" s="23"/>
      <c r="E23" s="19"/>
      <c r="F23" s="19"/>
      <c r="G23" s="19"/>
      <c r="H23" s="20"/>
    </row>
    <row r="24" spans="1:8" ht="16.5" thickBot="1">
      <c r="A24" s="828"/>
      <c r="B24" s="640" t="s">
        <v>447</v>
      </c>
      <c r="C24" s="640" t="s">
        <v>1103</v>
      </c>
      <c r="D24" s="48"/>
      <c r="E24" s="37"/>
      <c r="F24" s="37"/>
      <c r="G24" s="37"/>
      <c r="H24" s="38"/>
    </row>
    <row r="25" spans="1:8" ht="5.25" customHeight="1" thickBot="1">
      <c r="A25" s="39"/>
      <c r="B25" s="40"/>
      <c r="H25" s="42"/>
    </row>
    <row r="26" spans="1:8" s="5" customFormat="1" ht="13.5" customHeight="1">
      <c r="A26" s="875" t="s">
        <v>160</v>
      </c>
      <c r="B26" s="241" t="s">
        <v>101</v>
      </c>
      <c r="C26" s="242" t="s">
        <v>48</v>
      </c>
      <c r="D26" s="243" t="s">
        <v>125</v>
      </c>
      <c r="E26" s="243" t="s">
        <v>434</v>
      </c>
      <c r="F26" s="243" t="s">
        <v>414</v>
      </c>
      <c r="G26" s="369" t="s">
        <v>454</v>
      </c>
      <c r="H26" s="244" t="s">
        <v>470</v>
      </c>
    </row>
    <row r="27" spans="1:8">
      <c r="A27" s="827"/>
      <c r="B27" s="16" t="s">
        <v>421</v>
      </c>
      <c r="C27" s="53">
        <f>59*D27</f>
        <v>0</v>
      </c>
      <c r="D27" s="17"/>
      <c r="E27" s="17"/>
      <c r="F27" s="54"/>
      <c r="G27" s="167" t="e">
        <f t="shared" ref="G27:G32" si="0">D27/$D$35</f>
        <v>#DIV/0!</v>
      </c>
      <c r="H27" s="55"/>
    </row>
    <row r="28" spans="1:8">
      <c r="A28" s="827"/>
      <c r="B28" s="16" t="s">
        <v>85</v>
      </c>
      <c r="C28" s="53">
        <f>75*D28</f>
        <v>0</v>
      </c>
      <c r="D28" s="17"/>
      <c r="E28" s="17"/>
      <c r="F28" s="54"/>
      <c r="G28" s="167" t="e">
        <f t="shared" si="0"/>
        <v>#DIV/0!</v>
      </c>
      <c r="H28" s="55"/>
    </row>
    <row r="29" spans="1:8">
      <c r="A29" s="827"/>
      <c r="B29" s="16" t="s">
        <v>134</v>
      </c>
      <c r="C29" s="53">
        <f>75*D29</f>
        <v>0</v>
      </c>
      <c r="D29" s="17"/>
      <c r="E29" s="17"/>
      <c r="F29" s="54"/>
      <c r="G29" s="167" t="e">
        <f t="shared" si="0"/>
        <v>#DIV/0!</v>
      </c>
      <c r="H29" s="55"/>
    </row>
    <row r="30" spans="1:8">
      <c r="A30" s="827"/>
      <c r="B30" s="16" t="s">
        <v>44</v>
      </c>
      <c r="C30" s="53">
        <f>75*D30</f>
        <v>0</v>
      </c>
      <c r="D30" s="17"/>
      <c r="E30" s="17"/>
      <c r="F30" s="54"/>
      <c r="G30" s="167" t="e">
        <f t="shared" si="0"/>
        <v>#DIV/0!</v>
      </c>
      <c r="H30" s="55"/>
    </row>
    <row r="31" spans="1:8">
      <c r="A31" s="827"/>
      <c r="B31" s="16" t="s">
        <v>193</v>
      </c>
      <c r="C31" s="53">
        <f>84*D31</f>
        <v>0</v>
      </c>
      <c r="D31" s="17"/>
      <c r="E31" s="17"/>
      <c r="F31" s="54"/>
      <c r="G31" s="167" t="e">
        <f t="shared" si="0"/>
        <v>#DIV/0!</v>
      </c>
      <c r="H31" s="55"/>
    </row>
    <row r="32" spans="1:8">
      <c r="A32" s="827"/>
      <c r="B32" s="16" t="s">
        <v>56</v>
      </c>
      <c r="C32" s="53">
        <f>84*D32</f>
        <v>0</v>
      </c>
      <c r="D32" s="17"/>
      <c r="E32" s="17"/>
      <c r="F32" s="54"/>
      <c r="G32" s="167" t="e">
        <f t="shared" si="0"/>
        <v>#DIV/0!</v>
      </c>
      <c r="H32" s="55"/>
    </row>
    <row r="33" spans="1:10">
      <c r="A33" s="827"/>
      <c r="B33" s="16"/>
      <c r="C33" s="53"/>
      <c r="D33" s="17"/>
      <c r="E33" s="17"/>
      <c r="F33" s="54"/>
      <c r="G33" s="167"/>
      <c r="H33" s="55"/>
    </row>
    <row r="34" spans="1:10">
      <c r="A34" s="827"/>
      <c r="B34" s="16"/>
      <c r="C34" s="53"/>
      <c r="D34" s="17"/>
      <c r="E34" s="54"/>
      <c r="F34" s="54"/>
      <c r="G34" s="167"/>
      <c r="H34" s="55"/>
    </row>
    <row r="35" spans="1:10" ht="16.5" thickBot="1">
      <c r="A35" s="828"/>
      <c r="B35" s="56" t="s">
        <v>462</v>
      </c>
      <c r="C35" s="57">
        <f>SUM(C27:C34)</f>
        <v>0</v>
      </c>
      <c r="D35" s="58">
        <f>SUM(D27:D34)</f>
        <v>0</v>
      </c>
      <c r="E35" s="59">
        <f>SUM(E27:E34)</f>
        <v>0</v>
      </c>
      <c r="F35" s="59">
        <f>SUM(F27:F34)</f>
        <v>0</v>
      </c>
      <c r="G35" s="168" t="e">
        <f>SUM(G27:G34)</f>
        <v>#DIV/0!</v>
      </c>
      <c r="H35" s="60"/>
    </row>
    <row r="36" spans="1:10" ht="4.5" customHeight="1" thickBot="1">
      <c r="A36" s="39"/>
      <c r="B36" s="40"/>
      <c r="H36" s="42"/>
    </row>
    <row r="37" spans="1:10" s="2" customFormat="1">
      <c r="A37" s="967" t="s">
        <v>393</v>
      </c>
      <c r="B37" s="241" t="s">
        <v>360</v>
      </c>
      <c r="C37" s="243" t="s">
        <v>904</v>
      </c>
      <c r="D37" s="243" t="s">
        <v>905</v>
      </c>
      <c r="E37" s="243" t="s">
        <v>43</v>
      </c>
      <c r="F37" s="243" t="s">
        <v>906</v>
      </c>
      <c r="G37" s="245" t="s">
        <v>172</v>
      </c>
      <c r="H37" s="246" t="s">
        <v>470</v>
      </c>
    </row>
    <row r="38" spans="1:10" ht="16.5" customHeight="1">
      <c r="A38" s="968"/>
      <c r="B38" s="16" t="s">
        <v>421</v>
      </c>
      <c r="C38" s="62"/>
      <c r="D38" s="63"/>
      <c r="E38" s="252">
        <f>(D38-C38)*25</f>
        <v>0</v>
      </c>
      <c r="F38" s="63"/>
      <c r="G38" s="252">
        <f>(F38-C38)*25</f>
        <v>0</v>
      </c>
      <c r="H38" s="31"/>
    </row>
    <row r="39" spans="1:10" ht="16.5" customHeight="1">
      <c r="A39" s="968"/>
      <c r="B39" s="16" t="s">
        <v>85</v>
      </c>
      <c r="C39" s="62"/>
      <c r="D39" s="63"/>
      <c r="E39" s="252">
        <f>(D39-C39)*31</f>
        <v>0</v>
      </c>
      <c r="F39" s="63"/>
      <c r="G39" s="252">
        <f>(F39-C39)*31</f>
        <v>0</v>
      </c>
      <c r="H39" s="31"/>
    </row>
    <row r="40" spans="1:10" ht="16.5" customHeight="1">
      <c r="A40" s="968"/>
      <c r="B40" s="16" t="s">
        <v>134</v>
      </c>
      <c r="C40" s="62"/>
      <c r="D40" s="63"/>
      <c r="E40" s="252">
        <f>(D40-C40)*31</f>
        <v>0</v>
      </c>
      <c r="F40" s="63"/>
      <c r="G40" s="252">
        <f>(F40-C40)*31</f>
        <v>0</v>
      </c>
      <c r="H40" s="31"/>
    </row>
    <row r="41" spans="1:10" ht="16.5" customHeight="1">
      <c r="A41" s="968"/>
      <c r="B41" s="16" t="s">
        <v>44</v>
      </c>
      <c r="C41" s="62"/>
      <c r="D41" s="63"/>
      <c r="E41" s="252">
        <f>(D41-C41)*31</f>
        <v>0</v>
      </c>
      <c r="F41" s="63"/>
      <c r="G41" s="252">
        <f>(F41-C41)*31</f>
        <v>0</v>
      </c>
      <c r="H41" s="31"/>
    </row>
    <row r="42" spans="1:10" ht="16.5" customHeight="1">
      <c r="A42" s="968"/>
      <c r="B42" s="16" t="s">
        <v>193</v>
      </c>
      <c r="C42" s="724">
        <f>F42*70%</f>
        <v>15007999.999999998</v>
      </c>
      <c r="D42" s="63">
        <f>F42-2000000</f>
        <v>19440000</v>
      </c>
      <c r="E42" s="252">
        <f>(D42-C42)*34</f>
        <v>150688000.00000006</v>
      </c>
      <c r="F42" s="723">
        <v>21440000</v>
      </c>
      <c r="G42" s="252">
        <f>(F42-C42)*34</f>
        <v>218688000.00000006</v>
      </c>
      <c r="H42" s="31" t="s">
        <v>1145</v>
      </c>
    </row>
    <row r="43" spans="1:10" ht="16.5" customHeight="1">
      <c r="A43" s="968"/>
      <c r="B43" s="16" t="s">
        <v>56</v>
      </c>
      <c r="C43" s="62"/>
      <c r="D43" s="63"/>
      <c r="E43" s="252">
        <f>(D43-C43)*34</f>
        <v>0</v>
      </c>
      <c r="F43" s="63"/>
      <c r="G43" s="252">
        <f>(F43-C43)*34</f>
        <v>0</v>
      </c>
      <c r="H43" s="31"/>
      <c r="J43" s="483"/>
    </row>
    <row r="44" spans="1:10" ht="16.5" customHeight="1" thickBot="1">
      <c r="A44" s="968"/>
      <c r="B44" s="16"/>
      <c r="C44" s="62"/>
      <c r="D44" s="63"/>
      <c r="E44" s="252"/>
      <c r="F44" s="63"/>
      <c r="G44" s="252"/>
      <c r="H44" s="31"/>
    </row>
    <row r="45" spans="1:10" ht="16.5" customHeight="1" thickBot="1">
      <c r="A45" s="969"/>
      <c r="B45" s="56"/>
      <c r="C45" s="64"/>
      <c r="D45" s="65"/>
      <c r="E45" s="366"/>
      <c r="F45" s="65"/>
      <c r="G45" s="366"/>
      <c r="H45" s="66"/>
    </row>
    <row r="46" spans="1:10" ht="3.75" customHeight="1" thickBot="1"/>
    <row r="47" spans="1:10" ht="58">
      <c r="A47" s="833" t="s">
        <v>257</v>
      </c>
      <c r="B47" s="243" t="s">
        <v>101</v>
      </c>
      <c r="C47" s="508" t="s">
        <v>1395</v>
      </c>
      <c r="D47" s="247" t="s">
        <v>247</v>
      </c>
      <c r="E47" s="247" t="s">
        <v>322</v>
      </c>
      <c r="F47" s="247" t="s">
        <v>222</v>
      </c>
      <c r="G47" s="247" t="s">
        <v>367</v>
      </c>
      <c r="H47" s="243" t="s">
        <v>1146</v>
      </c>
      <c r="I47" s="824" t="s">
        <v>1208</v>
      </c>
    </row>
    <row r="48" spans="1:10">
      <c r="A48" s="878"/>
      <c r="B48" s="25" t="s">
        <v>421</v>
      </c>
      <c r="C48" s="169" t="s">
        <v>436</v>
      </c>
      <c r="D48" s="62">
        <f t="shared" ref="D48:D53" si="1">E38</f>
        <v>0</v>
      </c>
      <c r="E48" s="252" t="e">
        <f t="shared" ref="E48:E53" si="2">D48-C48</f>
        <v>#VALUE!</v>
      </c>
      <c r="F48" s="63">
        <f t="shared" ref="F48:F53" si="3">G38</f>
        <v>0</v>
      </c>
      <c r="G48" s="252" t="e">
        <f t="shared" ref="G48:G53" si="4">F48-C48</f>
        <v>#VALUE!</v>
      </c>
      <c r="H48" s="54"/>
      <c r="I48" s="825"/>
    </row>
    <row r="49" spans="1:12">
      <c r="A49" s="834"/>
      <c r="B49" s="25" t="s">
        <v>85</v>
      </c>
      <c r="C49" s="169" t="s">
        <v>436</v>
      </c>
      <c r="D49" s="62">
        <f t="shared" si="1"/>
        <v>0</v>
      </c>
      <c r="E49" s="252" t="e">
        <f t="shared" si="2"/>
        <v>#VALUE!</v>
      </c>
      <c r="F49" s="63">
        <f t="shared" si="3"/>
        <v>0</v>
      </c>
      <c r="G49" s="252" t="e">
        <f t="shared" si="4"/>
        <v>#VALUE!</v>
      </c>
      <c r="H49" s="54"/>
      <c r="I49" s="825"/>
    </row>
    <row r="50" spans="1:12">
      <c r="A50" s="834"/>
      <c r="B50" s="25" t="s">
        <v>134</v>
      </c>
      <c r="C50" s="169" t="s">
        <v>872</v>
      </c>
      <c r="D50" s="62">
        <f t="shared" si="1"/>
        <v>0</v>
      </c>
      <c r="E50" s="252" t="e">
        <f t="shared" si="2"/>
        <v>#VALUE!</v>
      </c>
      <c r="F50" s="63">
        <f t="shared" si="3"/>
        <v>0</v>
      </c>
      <c r="G50" s="252" t="e">
        <f t="shared" si="4"/>
        <v>#VALUE!</v>
      </c>
      <c r="H50" s="54"/>
      <c r="I50" s="825"/>
    </row>
    <row r="51" spans="1:12">
      <c r="A51" s="834"/>
      <c r="B51" s="25" t="s">
        <v>44</v>
      </c>
      <c r="C51" s="169" t="s">
        <v>436</v>
      </c>
      <c r="D51" s="62">
        <f t="shared" si="1"/>
        <v>0</v>
      </c>
      <c r="E51" s="252" t="e">
        <f t="shared" si="2"/>
        <v>#VALUE!</v>
      </c>
      <c r="F51" s="63">
        <f t="shared" si="3"/>
        <v>0</v>
      </c>
      <c r="G51" s="252" t="e">
        <f t="shared" si="4"/>
        <v>#VALUE!</v>
      </c>
      <c r="H51" s="54"/>
      <c r="I51" s="825"/>
    </row>
    <row r="52" spans="1:12" ht="17">
      <c r="A52" s="834"/>
      <c r="B52" s="25" t="s">
        <v>193</v>
      </c>
      <c r="C52" s="169">
        <v>360000000</v>
      </c>
      <c r="D52" s="62">
        <f t="shared" si="1"/>
        <v>150688000.00000006</v>
      </c>
      <c r="E52" s="252">
        <f t="shared" si="2"/>
        <v>-209311999.99999994</v>
      </c>
      <c r="F52" s="63">
        <f t="shared" si="3"/>
        <v>218688000.00000006</v>
      </c>
      <c r="G52" s="252">
        <f t="shared" si="4"/>
        <v>-141311999.99999994</v>
      </c>
      <c r="H52" s="62">
        <f>(C52+(C42*34))/34</f>
        <v>25596235.294117648</v>
      </c>
      <c r="I52" s="751">
        <f>H52/F42</f>
        <v>1.1938542581211589</v>
      </c>
    </row>
    <row r="53" spans="1:12">
      <c r="A53" s="834"/>
      <c r="B53" s="25" t="s">
        <v>56</v>
      </c>
      <c r="C53" s="169" t="s">
        <v>436</v>
      </c>
      <c r="D53" s="62">
        <f t="shared" si="1"/>
        <v>0</v>
      </c>
      <c r="E53" s="252" t="e">
        <f t="shared" si="2"/>
        <v>#VALUE!</v>
      </c>
      <c r="F53" s="63">
        <f t="shared" si="3"/>
        <v>0</v>
      </c>
      <c r="G53" s="252" t="e">
        <f t="shared" si="4"/>
        <v>#VALUE!</v>
      </c>
      <c r="H53" s="54"/>
      <c r="I53" s="31"/>
    </row>
    <row r="54" spans="1:12">
      <c r="A54" s="834"/>
      <c r="B54" s="25"/>
      <c r="C54" s="169"/>
      <c r="D54" s="62"/>
      <c r="E54" s="252"/>
      <c r="F54" s="63"/>
      <c r="G54" s="252"/>
      <c r="H54" s="54"/>
      <c r="I54" s="31"/>
    </row>
    <row r="55" spans="1:12" ht="16.5" thickBot="1">
      <c r="A55" s="836"/>
      <c r="B55" s="716"/>
      <c r="C55" s="172"/>
      <c r="D55" s="64"/>
      <c r="E55" s="366"/>
      <c r="F55" s="65"/>
      <c r="G55" s="366"/>
      <c r="H55" s="619"/>
      <c r="I55" s="66"/>
    </row>
    <row r="56" spans="1:12">
      <c r="A56" s="929" t="s">
        <v>598</v>
      </c>
      <c r="B56" s="741" t="s">
        <v>599</v>
      </c>
      <c r="C56" s="738" t="s">
        <v>660</v>
      </c>
      <c r="D56" s="930" t="s">
        <v>600</v>
      </c>
      <c r="E56" s="931"/>
      <c r="F56" s="931"/>
      <c r="G56" s="931"/>
      <c r="H56" s="932"/>
      <c r="J56" s="5"/>
      <c r="K56" s="5"/>
      <c r="L56" s="5"/>
    </row>
    <row r="57" spans="1:12" ht="17">
      <c r="A57" s="834"/>
      <c r="B57" s="488" t="s">
        <v>1100</v>
      </c>
      <c r="C57" s="708">
        <v>1300</v>
      </c>
      <c r="D57" s="491"/>
      <c r="H57" s="42"/>
      <c r="J57" s="509"/>
      <c r="K57" s="509"/>
      <c r="L57" s="509"/>
    </row>
    <row r="58" spans="1:12" ht="17">
      <c r="A58" s="834"/>
      <c r="B58" s="165" t="s">
        <v>602</v>
      </c>
      <c r="C58" s="708">
        <v>1600</v>
      </c>
      <c r="D58" s="492"/>
      <c r="H58" s="42"/>
      <c r="J58" s="509"/>
      <c r="K58" s="509"/>
      <c r="L58" s="509"/>
    </row>
    <row r="59" spans="1:12">
      <c r="A59" s="834"/>
      <c r="B59" s="165" t="s">
        <v>603</v>
      </c>
      <c r="C59" s="626">
        <v>1800</v>
      </c>
      <c r="D59" s="492"/>
      <c r="H59" s="42"/>
    </row>
    <row r="60" spans="1:12">
      <c r="A60" s="835"/>
      <c r="B60" s="165" t="s">
        <v>604</v>
      </c>
      <c r="C60" s="627">
        <v>2383</v>
      </c>
      <c r="D60" s="492"/>
      <c r="H60" s="42"/>
    </row>
    <row r="61" spans="1:12">
      <c r="A61" s="835"/>
      <c r="B61" s="165" t="s">
        <v>1458</v>
      </c>
      <c r="C61" s="627">
        <f>H52/10000</f>
        <v>2559.6235294117646</v>
      </c>
      <c r="D61" s="492"/>
      <c r="H61" s="42"/>
    </row>
    <row r="62" spans="1:12">
      <c r="A62" s="835"/>
      <c r="B62" s="165" t="s">
        <v>1462</v>
      </c>
      <c r="C62" s="627"/>
      <c r="D62" s="492"/>
      <c r="H62" s="42"/>
    </row>
    <row r="63" spans="1:12">
      <c r="A63" s="835"/>
      <c r="B63" s="165" t="s">
        <v>1463</v>
      </c>
      <c r="C63" s="627"/>
      <c r="D63" s="492"/>
      <c r="H63" s="42"/>
    </row>
    <row r="64" spans="1:12">
      <c r="A64" s="835"/>
      <c r="B64" s="165" t="s">
        <v>1464</v>
      </c>
      <c r="C64" s="627"/>
      <c r="D64" s="492"/>
      <c r="H64" s="42"/>
    </row>
    <row r="65" spans="1:8">
      <c r="A65" s="835"/>
      <c r="B65" s="707" t="s">
        <v>1466</v>
      </c>
      <c r="C65" s="627"/>
      <c r="D65" s="492"/>
      <c r="H65" s="42"/>
    </row>
    <row r="66" spans="1:8">
      <c r="A66" s="835"/>
      <c r="B66" s="165" t="s">
        <v>1469</v>
      </c>
      <c r="C66" s="627"/>
      <c r="D66" s="492"/>
      <c r="H66" s="42"/>
    </row>
    <row r="67" spans="1:8" ht="16.5" thickBot="1">
      <c r="A67" s="836"/>
      <c r="B67" s="157" t="s">
        <v>1099</v>
      </c>
      <c r="C67" s="628"/>
      <c r="D67" s="631"/>
      <c r="E67" s="486"/>
      <c r="F67" s="486"/>
      <c r="G67" s="486"/>
      <c r="H67" s="487"/>
    </row>
    <row r="68" spans="1:8">
      <c r="A68" s="827" t="s">
        <v>650</v>
      </c>
      <c r="B68" s="206"/>
      <c r="C68" s="78"/>
      <c r="D68" s="79"/>
      <c r="E68" s="76"/>
      <c r="F68" s="76"/>
      <c r="G68" s="76"/>
      <c r="H68" s="114"/>
    </row>
    <row r="69" spans="1:8">
      <c r="A69" s="827"/>
      <c r="B69" s="206"/>
      <c r="C69" s="78"/>
      <c r="D69" s="79"/>
      <c r="E69" s="76"/>
      <c r="F69" s="76"/>
      <c r="G69" s="76"/>
      <c r="H69" s="114"/>
    </row>
    <row r="70" spans="1:8">
      <c r="A70" s="827"/>
      <c r="B70" s="206"/>
      <c r="C70" s="78"/>
      <c r="D70" s="79"/>
      <c r="E70" s="76"/>
      <c r="F70" s="76"/>
      <c r="G70" s="76"/>
      <c r="H70" s="114"/>
    </row>
    <row r="71" spans="1:8">
      <c r="A71" s="827"/>
      <c r="B71" s="206"/>
      <c r="C71" s="78"/>
      <c r="D71" s="79"/>
      <c r="E71" s="76"/>
      <c r="F71" s="76"/>
      <c r="G71" s="76"/>
      <c r="H71" s="114"/>
    </row>
    <row r="72" spans="1:8">
      <c r="A72" s="827"/>
      <c r="B72" s="206"/>
      <c r="C72" s="78"/>
      <c r="D72" s="79"/>
      <c r="E72" s="76"/>
      <c r="F72" s="76"/>
      <c r="G72" s="76"/>
      <c r="H72" s="114"/>
    </row>
    <row r="73" spans="1:8">
      <c r="A73" s="827"/>
      <c r="B73" s="206"/>
      <c r="C73" s="78"/>
      <c r="D73" s="79"/>
      <c r="E73" s="76"/>
      <c r="F73" s="76"/>
      <c r="G73" s="76"/>
      <c r="H73" s="114"/>
    </row>
    <row r="74" spans="1:8">
      <c r="A74" s="827"/>
      <c r="B74" s="206"/>
      <c r="C74" s="78"/>
      <c r="D74" s="79"/>
      <c r="E74" s="76"/>
      <c r="F74" s="76"/>
      <c r="G74" s="76"/>
      <c r="H74" s="114"/>
    </row>
    <row r="75" spans="1:8" ht="16.5" thickBot="1">
      <c r="A75" s="828"/>
      <c r="B75" s="568"/>
      <c r="C75" s="569"/>
      <c r="D75" s="570"/>
      <c r="E75" s="571"/>
      <c r="F75" s="571"/>
      <c r="G75" s="571"/>
      <c r="H75" s="572"/>
    </row>
  </sheetData>
  <mergeCells count="17">
    <mergeCell ref="A1:H1"/>
    <mergeCell ref="A2:A15"/>
    <mergeCell ref="C3:D3"/>
    <mergeCell ref="C4:D4"/>
    <mergeCell ref="D5:E5"/>
    <mergeCell ref="G5:H5"/>
    <mergeCell ref="F8:H8"/>
    <mergeCell ref="F12:G12"/>
    <mergeCell ref="F13:H13"/>
    <mergeCell ref="I47:I51"/>
    <mergeCell ref="A56:A67"/>
    <mergeCell ref="D56:H56"/>
    <mergeCell ref="A68:A75"/>
    <mergeCell ref="A17:A24"/>
    <mergeCell ref="A26:A35"/>
    <mergeCell ref="A37:A45"/>
    <mergeCell ref="A47:A55"/>
  </mergeCells>
  <phoneticPr fontId="16" type="noConversion"/>
  <pageMargins left="0.69972223043441772" right="0.69972223043441772" top="0.75" bottom="0.75" header="0.30000001192092896" footer="0.30000001192092896"/>
  <pageSetup paperSize="9" scale="86" orientation="portrait" horizontalDpi="4294967293" verticalDpi="4294967293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J55"/>
  <sheetViews>
    <sheetView showGridLines="0" topLeftCell="A40" zoomScale="70" zoomScaleNormal="70" zoomScaleSheetLayoutView="120" workbookViewId="0">
      <selection activeCell="L32" sqref="L32"/>
    </sheetView>
  </sheetViews>
  <sheetFormatPr defaultColWidth="13.4140625" defaultRowHeight="16"/>
  <cols>
    <col min="1" max="1" width="4.83203125" style="1" bestFit="1" customWidth="1"/>
    <col min="2" max="2" width="13.4140625" style="2"/>
    <col min="3" max="3" width="20.33203125" style="3" bestFit="1" customWidth="1"/>
    <col min="4" max="4" width="18.4140625" style="4" bestFit="1" customWidth="1"/>
    <col min="5" max="5" width="13.08203125" style="1" bestFit="1" customWidth="1"/>
    <col min="6" max="6" width="15.9140625" style="1" bestFit="1" customWidth="1"/>
    <col min="7" max="7" width="14" style="1" bestFit="1" customWidth="1"/>
    <col min="8" max="8" width="6.4140625" style="1" bestFit="1" customWidth="1"/>
    <col min="9" max="16384" width="13.4140625" style="1"/>
  </cols>
  <sheetData>
    <row r="1" spans="1:8" ht="30.75" customHeight="1">
      <c r="A1" s="913" t="s">
        <v>256</v>
      </c>
      <c r="B1" s="914"/>
      <c r="C1" s="914"/>
      <c r="D1" s="914"/>
      <c r="E1" s="914"/>
      <c r="F1" s="914"/>
      <c r="G1" s="914"/>
      <c r="H1" s="915"/>
    </row>
    <row r="2" spans="1:8">
      <c r="A2" s="821" t="s">
        <v>112</v>
      </c>
      <c r="B2" s="6" t="s">
        <v>420</v>
      </c>
      <c r="C2" s="7" t="s">
        <v>446</v>
      </c>
      <c r="D2" s="150"/>
      <c r="E2" s="9"/>
      <c r="F2" s="9"/>
      <c r="G2" s="9"/>
      <c r="H2" s="10"/>
    </row>
    <row r="3" spans="1:8">
      <c r="A3" s="829"/>
      <c r="B3" s="11" t="s">
        <v>471</v>
      </c>
      <c r="C3" s="856" t="s">
        <v>10</v>
      </c>
      <c r="D3" s="857"/>
      <c r="E3" s="14"/>
      <c r="F3" s="14"/>
      <c r="G3" s="14"/>
      <c r="H3" s="15"/>
    </row>
    <row r="4" spans="1:8">
      <c r="A4" s="829"/>
      <c r="B4" s="11" t="s">
        <v>407</v>
      </c>
      <c r="C4" s="856" t="s">
        <v>405</v>
      </c>
      <c r="D4" s="857"/>
      <c r="E4" s="14"/>
      <c r="F4" s="14"/>
      <c r="G4" s="14"/>
      <c r="H4" s="15"/>
    </row>
    <row r="5" spans="1:8">
      <c r="A5" s="822"/>
      <c r="B5" s="16" t="s">
        <v>99</v>
      </c>
      <c r="C5" s="17">
        <v>44432</v>
      </c>
      <c r="D5" s="858" t="s">
        <v>250</v>
      </c>
      <c r="E5" s="859"/>
      <c r="F5" s="250">
        <f>C5*0.3025/C7</f>
        <v>16.927808564231739</v>
      </c>
      <c r="G5" s="916" t="s">
        <v>523</v>
      </c>
      <c r="H5" s="917"/>
    </row>
    <row r="6" spans="1:8">
      <c r="A6" s="822"/>
      <c r="B6" s="16" t="s">
        <v>425</v>
      </c>
      <c r="C6" s="17">
        <v>4</v>
      </c>
      <c r="D6" s="18"/>
      <c r="E6" s="19"/>
      <c r="F6" s="19"/>
      <c r="G6" s="19"/>
      <c r="H6" s="20"/>
    </row>
    <row r="7" spans="1:8">
      <c r="A7" s="822"/>
      <c r="B7" s="16" t="s">
        <v>121</v>
      </c>
      <c r="C7" s="17">
        <v>794</v>
      </c>
      <c r="D7" s="21" t="s">
        <v>39</v>
      </c>
      <c r="E7" s="22">
        <f>C7/C9</f>
        <v>0.39074803149606302</v>
      </c>
      <c r="F7" s="18"/>
      <c r="G7" s="19"/>
      <c r="H7" s="20"/>
    </row>
    <row r="8" spans="1:8">
      <c r="A8" s="822"/>
      <c r="B8" s="16" t="s">
        <v>54</v>
      </c>
      <c r="C8" s="249">
        <f>C9-C7</f>
        <v>1238</v>
      </c>
      <c r="D8" s="21" t="s">
        <v>145</v>
      </c>
      <c r="E8" s="251">
        <f>C8/C9</f>
        <v>0.60925196850393704</v>
      </c>
      <c r="F8" s="863" t="s">
        <v>29</v>
      </c>
      <c r="G8" s="864"/>
      <c r="H8" s="865"/>
    </row>
    <row r="9" spans="1:8">
      <c r="A9" s="822"/>
      <c r="B9" s="16" t="s">
        <v>125</v>
      </c>
      <c r="C9" s="17">
        <v>2032</v>
      </c>
      <c r="D9" s="23"/>
      <c r="E9" s="19"/>
      <c r="F9" s="19"/>
      <c r="G9" s="19"/>
      <c r="H9" s="20"/>
    </row>
    <row r="10" spans="1:8">
      <c r="A10" s="822"/>
      <c r="B10" s="16" t="s">
        <v>427</v>
      </c>
      <c r="C10" s="24">
        <v>0.29920000000000002</v>
      </c>
      <c r="D10" s="25" t="s">
        <v>84</v>
      </c>
      <c r="E10" s="26">
        <f>C5*C10</f>
        <v>13294.054400000001</v>
      </c>
      <c r="F10" s="27" t="s">
        <v>41</v>
      </c>
      <c r="G10" s="28">
        <f>E11/E10</f>
        <v>30.907419786096259</v>
      </c>
      <c r="H10" s="29"/>
    </row>
    <row r="11" spans="1:8">
      <c r="A11" s="822"/>
      <c r="B11" s="16" t="s">
        <v>466</v>
      </c>
      <c r="C11" s="24">
        <v>9.2475000000000005</v>
      </c>
      <c r="D11" s="25" t="s">
        <v>91</v>
      </c>
      <c r="E11" s="30">
        <f>C5*C11</f>
        <v>410884.92000000004</v>
      </c>
      <c r="F11" s="27" t="s">
        <v>209</v>
      </c>
      <c r="G11" s="28">
        <f>E11*76%</f>
        <v>312272.53920000006</v>
      </c>
      <c r="H11" s="31"/>
    </row>
    <row r="12" spans="1:8">
      <c r="A12" s="822"/>
      <c r="B12" s="16" t="s">
        <v>208</v>
      </c>
      <c r="C12" s="152" t="s">
        <v>387</v>
      </c>
      <c r="D12" s="18"/>
      <c r="E12" s="19"/>
      <c r="F12" s="858" t="s">
        <v>234</v>
      </c>
      <c r="G12" s="859"/>
      <c r="H12" s="55">
        <f>G11/C35</f>
        <v>2.0512532545078335</v>
      </c>
    </row>
    <row r="13" spans="1:8">
      <c r="A13" s="822"/>
      <c r="B13" s="16" t="s">
        <v>441</v>
      </c>
      <c r="C13" s="165" t="s">
        <v>141</v>
      </c>
      <c r="D13" s="18"/>
      <c r="E13" s="19"/>
      <c r="F13" s="863" t="s">
        <v>392</v>
      </c>
      <c r="G13" s="864"/>
      <c r="H13" s="865"/>
    </row>
    <row r="14" spans="1:8">
      <c r="A14" s="822"/>
      <c r="B14" s="32" t="s">
        <v>467</v>
      </c>
      <c r="C14" s="166">
        <v>1.3</v>
      </c>
      <c r="D14" s="34"/>
      <c r="E14" s="19"/>
      <c r="F14" s="19"/>
      <c r="G14" s="19"/>
      <c r="H14" s="20"/>
    </row>
    <row r="15" spans="1:8">
      <c r="A15" s="823"/>
      <c r="B15" s="35"/>
      <c r="C15" s="35"/>
      <c r="D15" s="36"/>
      <c r="E15" s="37"/>
      <c r="F15" s="37"/>
      <c r="G15" s="37"/>
      <c r="H15" s="38"/>
    </row>
    <row r="16" spans="1:8" ht="5.25" customHeight="1">
      <c r="A16" s="39"/>
      <c r="B16" s="40"/>
      <c r="C16" s="41"/>
      <c r="D16" s="41"/>
      <c r="H16" s="42"/>
    </row>
    <row r="17" spans="1:8">
      <c r="A17" s="875" t="s">
        <v>49</v>
      </c>
      <c r="B17" s="43" t="s">
        <v>81</v>
      </c>
      <c r="C17" s="44" t="s">
        <v>384</v>
      </c>
      <c r="D17" s="45"/>
      <c r="E17" s="9"/>
      <c r="F17" s="9"/>
      <c r="G17" s="9"/>
      <c r="H17" s="10"/>
    </row>
    <row r="18" spans="1:8">
      <c r="A18" s="827"/>
      <c r="B18" s="25" t="s">
        <v>147</v>
      </c>
      <c r="C18" s="46" t="s">
        <v>299</v>
      </c>
      <c r="D18" s="47"/>
      <c r="E18" s="19"/>
      <c r="F18" s="19"/>
      <c r="G18" s="19"/>
      <c r="H18" s="20"/>
    </row>
    <row r="19" spans="1:8">
      <c r="A19" s="827"/>
      <c r="B19" s="25" t="s">
        <v>98</v>
      </c>
      <c r="C19" s="46" t="s">
        <v>382</v>
      </c>
      <c r="D19" s="47"/>
      <c r="E19" s="19"/>
      <c r="F19" s="19"/>
      <c r="G19" s="19"/>
      <c r="H19" s="20"/>
    </row>
    <row r="20" spans="1:8">
      <c r="A20" s="827"/>
      <c r="B20" s="25" t="s">
        <v>73</v>
      </c>
      <c r="C20" s="25" t="s">
        <v>388</v>
      </c>
      <c r="D20" s="23"/>
      <c r="E20" s="19"/>
      <c r="F20" s="19"/>
      <c r="G20" s="19"/>
      <c r="H20" s="20"/>
    </row>
    <row r="21" spans="1:8">
      <c r="A21" s="827"/>
      <c r="B21" s="25" t="s">
        <v>452</v>
      </c>
      <c r="C21" s="25" t="s">
        <v>326</v>
      </c>
      <c r="D21" s="23"/>
      <c r="E21" s="19"/>
      <c r="F21" s="19"/>
      <c r="G21" s="19"/>
      <c r="H21" s="20"/>
    </row>
    <row r="22" spans="1:8">
      <c r="A22" s="827"/>
      <c r="B22" s="25" t="s">
        <v>445</v>
      </c>
      <c r="C22" s="25" t="s">
        <v>310</v>
      </c>
      <c r="D22" s="23"/>
      <c r="E22" s="19"/>
      <c r="F22" s="19"/>
      <c r="G22" s="19"/>
      <c r="H22" s="20"/>
    </row>
    <row r="23" spans="1:8">
      <c r="A23" s="827"/>
      <c r="B23" s="25" t="s">
        <v>167</v>
      </c>
      <c r="C23" s="25" t="s">
        <v>333</v>
      </c>
      <c r="D23" s="23"/>
      <c r="E23" s="19"/>
      <c r="F23" s="19"/>
      <c r="G23" s="19"/>
      <c r="H23" s="20"/>
    </row>
    <row r="24" spans="1:8">
      <c r="A24" s="828"/>
      <c r="B24" s="35" t="s">
        <v>447</v>
      </c>
      <c r="C24" s="35" t="s">
        <v>266</v>
      </c>
      <c r="D24" s="48"/>
      <c r="E24" s="37"/>
      <c r="F24" s="37"/>
      <c r="G24" s="37"/>
      <c r="H24" s="38"/>
    </row>
    <row r="25" spans="1:8" ht="5.25" customHeight="1">
      <c r="A25" s="39"/>
      <c r="B25" s="40"/>
      <c r="H25" s="42"/>
    </row>
    <row r="26" spans="1:8" s="5" customFormat="1" ht="13.5" customHeight="1">
      <c r="A26" s="875" t="s">
        <v>160</v>
      </c>
      <c r="B26" s="241" t="s">
        <v>101</v>
      </c>
      <c r="C26" s="242" t="s">
        <v>48</v>
      </c>
      <c r="D26" s="243" t="s">
        <v>125</v>
      </c>
      <c r="E26" s="243" t="s">
        <v>434</v>
      </c>
      <c r="F26" s="243" t="s">
        <v>414</v>
      </c>
      <c r="G26" s="369" t="s">
        <v>454</v>
      </c>
      <c r="H26" s="244" t="s">
        <v>470</v>
      </c>
    </row>
    <row r="27" spans="1:8">
      <c r="A27" s="827"/>
      <c r="B27" s="16" t="s">
        <v>421</v>
      </c>
      <c r="C27" s="53">
        <f>59*D27</f>
        <v>23010</v>
      </c>
      <c r="D27" s="17">
        <f t="shared" ref="D27:D32" si="0">E27+F27</f>
        <v>390</v>
      </c>
      <c r="E27" s="17">
        <v>268</v>
      </c>
      <c r="F27" s="54">
        <v>122</v>
      </c>
      <c r="G27" s="167">
        <f t="shared" ref="G27:G32" si="1">D27/$D$35</f>
        <v>0.19192913385826771</v>
      </c>
      <c r="H27" s="55"/>
    </row>
    <row r="28" spans="1:8">
      <c r="A28" s="827"/>
      <c r="B28" s="16" t="s">
        <v>85</v>
      </c>
      <c r="C28" s="53">
        <f>75*D28</f>
        <v>36600</v>
      </c>
      <c r="D28" s="17">
        <f t="shared" si="0"/>
        <v>488</v>
      </c>
      <c r="E28" s="17">
        <v>365</v>
      </c>
      <c r="F28" s="54">
        <v>123</v>
      </c>
      <c r="G28" s="167">
        <f t="shared" si="1"/>
        <v>0.24015748031496062</v>
      </c>
      <c r="H28" s="55"/>
    </row>
    <row r="29" spans="1:8">
      <c r="A29" s="827"/>
      <c r="B29" s="16" t="s">
        <v>134</v>
      </c>
      <c r="C29" s="53">
        <f>75*D29</f>
        <v>14100</v>
      </c>
      <c r="D29" s="17">
        <f t="shared" si="0"/>
        <v>188</v>
      </c>
      <c r="E29" s="17">
        <v>0</v>
      </c>
      <c r="F29" s="54">
        <v>188</v>
      </c>
      <c r="G29" s="167">
        <f t="shared" si="1"/>
        <v>9.2519685039370081E-2</v>
      </c>
      <c r="H29" s="55"/>
    </row>
    <row r="30" spans="1:8">
      <c r="A30" s="827"/>
      <c r="B30" s="16" t="s">
        <v>44</v>
      </c>
      <c r="C30" s="53">
        <f>75*D30</f>
        <v>21825</v>
      </c>
      <c r="D30" s="17">
        <f t="shared" si="0"/>
        <v>291</v>
      </c>
      <c r="E30" s="17">
        <v>174</v>
      </c>
      <c r="F30" s="54">
        <v>117</v>
      </c>
      <c r="G30" s="167">
        <f t="shared" si="1"/>
        <v>0.14320866141732283</v>
      </c>
      <c r="H30" s="55"/>
    </row>
    <row r="31" spans="1:8">
      <c r="A31" s="827"/>
      <c r="B31" s="16" t="s">
        <v>193</v>
      </c>
      <c r="C31" s="53">
        <f>84*D31</f>
        <v>32676</v>
      </c>
      <c r="D31" s="17">
        <f t="shared" si="0"/>
        <v>389</v>
      </c>
      <c r="E31" s="17">
        <v>263</v>
      </c>
      <c r="F31" s="54">
        <v>126</v>
      </c>
      <c r="G31" s="167">
        <f t="shared" si="1"/>
        <v>0.19143700787401574</v>
      </c>
      <c r="H31" s="55"/>
    </row>
    <row r="32" spans="1:8">
      <c r="A32" s="827"/>
      <c r="B32" s="16" t="s">
        <v>56</v>
      </c>
      <c r="C32" s="53">
        <f>84*D32</f>
        <v>24024</v>
      </c>
      <c r="D32" s="17">
        <f t="shared" si="0"/>
        <v>286</v>
      </c>
      <c r="E32" s="17">
        <v>168</v>
      </c>
      <c r="F32" s="54">
        <v>118</v>
      </c>
      <c r="G32" s="167">
        <f t="shared" si="1"/>
        <v>0.14074803149606299</v>
      </c>
      <c r="H32" s="55"/>
    </row>
    <row r="33" spans="1:10">
      <c r="A33" s="827"/>
      <c r="B33" s="16"/>
      <c r="C33" s="53"/>
      <c r="D33" s="17"/>
      <c r="E33" s="17"/>
      <c r="F33" s="54"/>
      <c r="G33" s="167"/>
      <c r="H33" s="55"/>
    </row>
    <row r="34" spans="1:10">
      <c r="A34" s="827"/>
      <c r="B34" s="16"/>
      <c r="C34" s="53"/>
      <c r="D34" s="17"/>
      <c r="E34" s="54"/>
      <c r="F34" s="54"/>
      <c r="G34" s="167"/>
      <c r="H34" s="55"/>
    </row>
    <row r="35" spans="1:10">
      <c r="A35" s="828"/>
      <c r="B35" s="56" t="s">
        <v>462</v>
      </c>
      <c r="C35" s="57">
        <f>SUM(C27:C34)</f>
        <v>152235</v>
      </c>
      <c r="D35" s="58">
        <f>SUM(D27:D34)</f>
        <v>2032</v>
      </c>
      <c r="E35" s="59">
        <f>SUM(E27:E34)</f>
        <v>1238</v>
      </c>
      <c r="F35" s="59">
        <f>SUM(F27:F34)</f>
        <v>794</v>
      </c>
      <c r="G35" s="168">
        <f>SUM(G27:G34)</f>
        <v>0.99999999999999989</v>
      </c>
      <c r="H35" s="60"/>
    </row>
    <row r="36" spans="1:10" ht="4.5" customHeight="1">
      <c r="A36" s="39"/>
      <c r="B36" s="40"/>
      <c r="H36" s="42"/>
    </row>
    <row r="37" spans="1:10" s="2" customFormat="1">
      <c r="A37" s="967" t="s">
        <v>393</v>
      </c>
      <c r="B37" s="241" t="s">
        <v>360</v>
      </c>
      <c r="C37" s="243" t="s">
        <v>907</v>
      </c>
      <c r="D37" s="243" t="s">
        <v>908</v>
      </c>
      <c r="E37" s="243" t="s">
        <v>43</v>
      </c>
      <c r="F37" s="243" t="s">
        <v>909</v>
      </c>
      <c r="G37" s="245" t="s">
        <v>172</v>
      </c>
      <c r="H37" s="246" t="s">
        <v>470</v>
      </c>
    </row>
    <row r="38" spans="1:10" ht="16.5" customHeight="1">
      <c r="A38" s="968"/>
      <c r="B38" s="16" t="s">
        <v>421</v>
      </c>
      <c r="C38" s="62">
        <f>251800000/25</f>
        <v>10072000</v>
      </c>
      <c r="D38" s="63">
        <v>11100000</v>
      </c>
      <c r="E38" s="252">
        <f>(D38-C38)*25</f>
        <v>25700000</v>
      </c>
      <c r="F38" s="63">
        <v>14500000</v>
      </c>
      <c r="G38" s="252">
        <f>(F38-C38)*25</f>
        <v>110700000</v>
      </c>
      <c r="H38" s="31"/>
    </row>
    <row r="39" spans="1:10" ht="16.5" customHeight="1">
      <c r="A39" s="968"/>
      <c r="B39" s="16" t="s">
        <v>85</v>
      </c>
      <c r="C39" s="62">
        <f>317716000/31</f>
        <v>10248903.225806452</v>
      </c>
      <c r="D39" s="63">
        <v>11100000</v>
      </c>
      <c r="E39" s="252">
        <f>(D39-C39)*31</f>
        <v>26383999.999999978</v>
      </c>
      <c r="F39" s="63">
        <v>14500000</v>
      </c>
      <c r="G39" s="252">
        <f>(F39-C39)*31</f>
        <v>131783999.99999997</v>
      </c>
      <c r="H39" s="31"/>
    </row>
    <row r="40" spans="1:10" ht="16.5" customHeight="1">
      <c r="A40" s="968"/>
      <c r="B40" s="16" t="s">
        <v>134</v>
      </c>
      <c r="C40" s="62">
        <f>323673000/31</f>
        <v>10441064.516129032</v>
      </c>
      <c r="D40" s="63">
        <v>11100000</v>
      </c>
      <c r="E40" s="252">
        <f>(D40-C40)*31</f>
        <v>20427000.000000015</v>
      </c>
      <c r="F40" s="63">
        <v>14500000</v>
      </c>
      <c r="G40" s="252">
        <f>(F40-C40)*31</f>
        <v>125827000.00000001</v>
      </c>
      <c r="H40" s="31"/>
    </row>
    <row r="41" spans="1:10" ht="16.5" customHeight="1">
      <c r="A41" s="968"/>
      <c r="B41" s="16" t="s">
        <v>44</v>
      </c>
      <c r="C41" s="62">
        <f>312156000/31</f>
        <v>10069548.387096774</v>
      </c>
      <c r="D41" s="63">
        <v>11100000</v>
      </c>
      <c r="E41" s="252">
        <f>(D41-C41)*31</f>
        <v>31944000.000000011</v>
      </c>
      <c r="F41" s="63">
        <v>14500000</v>
      </c>
      <c r="G41" s="252">
        <f>(F41-C41)*31</f>
        <v>137344000</v>
      </c>
      <c r="H41" s="31"/>
    </row>
    <row r="42" spans="1:10" ht="16.5" customHeight="1">
      <c r="A42" s="968"/>
      <c r="B42" s="16" t="s">
        <v>193</v>
      </c>
      <c r="C42" s="724">
        <f>340817000/34</f>
        <v>10024029.411764706</v>
      </c>
      <c r="D42" s="63">
        <v>11100000</v>
      </c>
      <c r="E42" s="252">
        <f>(D42-C42)*34</f>
        <v>36583000.000000015</v>
      </c>
      <c r="F42" s="723">
        <v>14500000</v>
      </c>
      <c r="G42" s="252">
        <f>(F42-C42)*34</f>
        <v>152183000</v>
      </c>
      <c r="H42" s="31"/>
      <c r="J42" s="1" t="s">
        <v>578</v>
      </c>
    </row>
    <row r="43" spans="1:10" ht="16.5" customHeight="1">
      <c r="A43" s="968"/>
      <c r="B43" s="16" t="s">
        <v>56</v>
      </c>
      <c r="C43" s="62">
        <f>344097000/34</f>
        <v>10120500</v>
      </c>
      <c r="D43" s="63">
        <v>11100000</v>
      </c>
      <c r="E43" s="252">
        <f>(D43-C43)*34</f>
        <v>33303000</v>
      </c>
      <c r="F43" s="63">
        <v>14500000</v>
      </c>
      <c r="G43" s="252">
        <f>(F43-C43)*34</f>
        <v>148903000</v>
      </c>
      <c r="H43" s="31"/>
      <c r="J43" s="483">
        <f>(F42-D42)*31</f>
        <v>105400000</v>
      </c>
    </row>
    <row r="44" spans="1:10" ht="16.5" customHeight="1">
      <c r="A44" s="968"/>
      <c r="B44" s="16"/>
      <c r="C44" s="62"/>
      <c r="D44" s="63"/>
      <c r="E44" s="252"/>
      <c r="F44" s="63"/>
      <c r="G44" s="252"/>
      <c r="H44" s="31"/>
    </row>
    <row r="45" spans="1:10" ht="16.5" customHeight="1">
      <c r="A45" s="969"/>
      <c r="B45" s="56"/>
      <c r="C45" s="64"/>
      <c r="D45" s="65"/>
      <c r="E45" s="366"/>
      <c r="F45" s="65"/>
      <c r="G45" s="366"/>
      <c r="H45" s="66"/>
    </row>
    <row r="46" spans="1:10" ht="3.75" customHeight="1"/>
    <row r="47" spans="1:10" ht="32">
      <c r="A47" s="997" t="s">
        <v>257</v>
      </c>
      <c r="B47" s="243" t="s">
        <v>101</v>
      </c>
      <c r="C47" s="511" t="s">
        <v>617</v>
      </c>
      <c r="D47" s="247" t="s">
        <v>247</v>
      </c>
      <c r="E47" s="247" t="s">
        <v>322</v>
      </c>
      <c r="F47" s="247" t="s">
        <v>222</v>
      </c>
      <c r="G47" s="248" t="s">
        <v>367</v>
      </c>
      <c r="H47" s="246" t="s">
        <v>470</v>
      </c>
    </row>
    <row r="48" spans="1:10">
      <c r="A48" s="998"/>
      <c r="B48" s="25" t="s">
        <v>421</v>
      </c>
      <c r="C48" s="169" t="s">
        <v>436</v>
      </c>
      <c r="D48" s="62">
        <f t="shared" ref="D48:D53" si="2">E38</f>
        <v>25700000</v>
      </c>
      <c r="E48" s="252" t="e">
        <f t="shared" ref="E48:E53" si="3">D48-C48</f>
        <v>#VALUE!</v>
      </c>
      <c r="F48" s="63">
        <f t="shared" ref="F48:F53" si="4">G38</f>
        <v>110700000</v>
      </c>
      <c r="G48" s="252" t="e">
        <f t="shared" ref="G48:G53" si="5">F48-C48</f>
        <v>#VALUE!</v>
      </c>
      <c r="H48" s="170"/>
    </row>
    <row r="49" spans="1:8">
      <c r="A49" s="877"/>
      <c r="B49" s="25" t="s">
        <v>85</v>
      </c>
      <c r="C49" s="169" t="s">
        <v>436</v>
      </c>
      <c r="D49" s="73">
        <f t="shared" si="2"/>
        <v>26383999.999999978</v>
      </c>
      <c r="E49" s="373" t="e">
        <f t="shared" si="3"/>
        <v>#VALUE!</v>
      </c>
      <c r="F49" s="171">
        <f t="shared" si="4"/>
        <v>131783999.99999997</v>
      </c>
      <c r="G49" s="373" t="e">
        <f t="shared" si="5"/>
        <v>#VALUE!</v>
      </c>
      <c r="H49" s="31"/>
    </row>
    <row r="50" spans="1:8">
      <c r="A50" s="877"/>
      <c r="B50" s="25" t="s">
        <v>134</v>
      </c>
      <c r="C50" s="169">
        <v>90000000</v>
      </c>
      <c r="D50" s="73">
        <f t="shared" si="2"/>
        <v>20427000.000000015</v>
      </c>
      <c r="E50" s="373">
        <f t="shared" si="3"/>
        <v>-69572999.999999985</v>
      </c>
      <c r="F50" s="171">
        <f t="shared" si="4"/>
        <v>125827000.00000001</v>
      </c>
      <c r="G50" s="373">
        <f t="shared" si="5"/>
        <v>35827000.000000015</v>
      </c>
      <c r="H50" s="31"/>
    </row>
    <row r="51" spans="1:8">
      <c r="A51" s="877"/>
      <c r="B51" s="25" t="s">
        <v>44</v>
      </c>
      <c r="C51" s="169" t="s">
        <v>436</v>
      </c>
      <c r="D51" s="73">
        <f t="shared" si="2"/>
        <v>31944000.000000011</v>
      </c>
      <c r="E51" s="373" t="e">
        <f t="shared" si="3"/>
        <v>#VALUE!</v>
      </c>
      <c r="F51" s="171">
        <f t="shared" si="4"/>
        <v>137344000</v>
      </c>
      <c r="G51" s="373" t="e">
        <f t="shared" si="5"/>
        <v>#VALUE!</v>
      </c>
      <c r="H51" s="31"/>
    </row>
    <row r="52" spans="1:8">
      <c r="A52" s="877"/>
      <c r="B52" s="25" t="s">
        <v>193</v>
      </c>
      <c r="C52" s="169">
        <v>120000000</v>
      </c>
      <c r="D52" s="73">
        <f t="shared" si="2"/>
        <v>36583000.000000015</v>
      </c>
      <c r="E52" s="373">
        <f t="shared" si="3"/>
        <v>-83416999.999999985</v>
      </c>
      <c r="F52" s="171">
        <f t="shared" si="4"/>
        <v>152183000</v>
      </c>
      <c r="G52" s="373">
        <f t="shared" si="5"/>
        <v>32183000</v>
      </c>
      <c r="H52" s="31"/>
    </row>
    <row r="53" spans="1:8">
      <c r="A53" s="877"/>
      <c r="B53" s="25" t="s">
        <v>56</v>
      </c>
      <c r="C53" s="169" t="s">
        <v>436</v>
      </c>
      <c r="D53" s="73">
        <f t="shared" si="2"/>
        <v>33303000</v>
      </c>
      <c r="E53" s="373" t="e">
        <f t="shared" si="3"/>
        <v>#VALUE!</v>
      </c>
      <c r="F53" s="171">
        <f t="shared" si="4"/>
        <v>148903000</v>
      </c>
      <c r="G53" s="373" t="e">
        <f t="shared" si="5"/>
        <v>#VALUE!</v>
      </c>
      <c r="H53" s="31"/>
    </row>
    <row r="54" spans="1:8">
      <c r="A54" s="877"/>
      <c r="B54" s="25"/>
      <c r="C54" s="169"/>
      <c r="D54" s="73"/>
      <c r="E54" s="373"/>
      <c r="F54" s="171"/>
      <c r="G54" s="373"/>
      <c r="H54" s="31"/>
    </row>
    <row r="55" spans="1:8">
      <c r="A55" s="999"/>
      <c r="B55" s="35"/>
      <c r="C55" s="172"/>
      <c r="D55" s="64"/>
      <c r="E55" s="366"/>
      <c r="F55" s="65"/>
      <c r="G55" s="366"/>
      <c r="H55" s="66"/>
    </row>
  </sheetData>
  <mergeCells count="13">
    <mergeCell ref="A37:A45"/>
    <mergeCell ref="A47:A55"/>
    <mergeCell ref="A1:H1"/>
    <mergeCell ref="A2:A15"/>
    <mergeCell ref="C4:D4"/>
    <mergeCell ref="D5:E5"/>
    <mergeCell ref="G5:H5"/>
    <mergeCell ref="A17:A24"/>
    <mergeCell ref="A26:A35"/>
    <mergeCell ref="C3:D3"/>
    <mergeCell ref="F12:G12"/>
    <mergeCell ref="F13:H13"/>
    <mergeCell ref="F8:H8"/>
  </mergeCells>
  <phoneticPr fontId="16" type="noConversion"/>
  <pageMargins left="0.69972223043441772" right="0.69972223043441772" top="0.75" bottom="0.75" header="0.30000001192092896" footer="0.30000001192092896"/>
  <pageSetup paperSize="9" scale="86" orientation="portrait" horizontalDpi="4294967293" verticalDpi="4294967293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CC"/>
  </sheetPr>
  <dimension ref="A1:I75"/>
  <sheetViews>
    <sheetView showGridLines="0" topLeftCell="A46" zoomScale="70" zoomScaleNormal="70" zoomScaleSheetLayoutView="70" workbookViewId="0">
      <selection activeCell="J62" sqref="J62"/>
    </sheetView>
  </sheetViews>
  <sheetFormatPr defaultColWidth="13.4140625" defaultRowHeight="16"/>
  <cols>
    <col min="1" max="1" width="4.9140625" style="1" customWidth="1"/>
    <col min="2" max="2" width="17.5" style="2" bestFit="1" customWidth="1"/>
    <col min="3" max="3" width="25.33203125" style="3" customWidth="1"/>
    <col min="4" max="4" width="19.6640625" style="4" customWidth="1"/>
    <col min="5" max="5" width="21.6640625" style="1" bestFit="1" customWidth="1"/>
    <col min="6" max="6" width="18.6640625" style="1" customWidth="1"/>
    <col min="7" max="7" width="18.08203125" style="1" bestFit="1" customWidth="1"/>
    <col min="8" max="8" width="17.08203125" style="1" bestFit="1" customWidth="1"/>
    <col min="9" max="9" width="27.25" style="1" bestFit="1" customWidth="1"/>
    <col min="10" max="16384" width="13.4140625" style="1"/>
  </cols>
  <sheetData>
    <row r="1" spans="1:8" ht="31.5" customHeight="1" thickBot="1">
      <c r="A1" s="872" t="s">
        <v>1043</v>
      </c>
      <c r="B1" s="873"/>
      <c r="C1" s="873"/>
      <c r="D1" s="873"/>
      <c r="E1" s="873"/>
      <c r="F1" s="873"/>
      <c r="G1" s="873"/>
      <c r="H1" s="874"/>
    </row>
    <row r="2" spans="1:8">
      <c r="A2" s="875" t="s">
        <v>112</v>
      </c>
      <c r="B2" s="6" t="s">
        <v>420</v>
      </c>
      <c r="C2" s="7" t="s">
        <v>625</v>
      </c>
      <c r="D2" s="8"/>
      <c r="E2" s="9"/>
      <c r="F2" s="9"/>
      <c r="G2" s="9"/>
      <c r="H2" s="10"/>
    </row>
    <row r="3" spans="1:8">
      <c r="A3" s="876"/>
      <c r="B3" s="11" t="s">
        <v>471</v>
      </c>
      <c r="C3" s="12" t="s">
        <v>1044</v>
      </c>
      <c r="D3" s="13"/>
      <c r="E3" s="14"/>
      <c r="F3" s="14"/>
      <c r="G3" s="14"/>
      <c r="H3" s="15"/>
    </row>
    <row r="4" spans="1:8">
      <c r="A4" s="876"/>
      <c r="B4" s="11" t="s">
        <v>407</v>
      </c>
      <c r="C4" s="856" t="s">
        <v>1045</v>
      </c>
      <c r="D4" s="857"/>
      <c r="E4" s="548" t="s">
        <v>644</v>
      </c>
      <c r="F4" s="529">
        <v>4500000</v>
      </c>
      <c r="G4" s="14"/>
      <c r="H4" s="15"/>
    </row>
    <row r="5" spans="1:8" ht="31.75" customHeight="1">
      <c r="A5" s="827"/>
      <c r="B5" s="16" t="s">
        <v>626</v>
      </c>
      <c r="C5" s="17">
        <v>87304.8</v>
      </c>
      <c r="D5" s="882" t="s">
        <v>624</v>
      </c>
      <c r="E5" s="859"/>
      <c r="F5" s="621">
        <f>C5*0.3025/C7</f>
        <v>33.219750943396228</v>
      </c>
      <c r="G5" s="858" t="s">
        <v>522</v>
      </c>
      <c r="H5" s="883"/>
    </row>
    <row r="6" spans="1:8">
      <c r="A6" s="827"/>
      <c r="B6" s="16" t="s">
        <v>425</v>
      </c>
      <c r="C6" s="17">
        <v>27</v>
      </c>
      <c r="D6" s="544" t="s">
        <v>627</v>
      </c>
      <c r="E6" s="530"/>
      <c r="F6" s="538" t="s">
        <v>628</v>
      </c>
      <c r="G6" s="884">
        <f>C5-E6</f>
        <v>87304.8</v>
      </c>
      <c r="H6" s="996"/>
    </row>
    <row r="7" spans="1:8">
      <c r="A7" s="827"/>
      <c r="B7" s="16" t="s">
        <v>121</v>
      </c>
      <c r="C7" s="17">
        <v>795</v>
      </c>
      <c r="D7" s="21" t="s">
        <v>39</v>
      </c>
      <c r="E7" s="251">
        <f>C7/C9</f>
        <v>0.43159609120521175</v>
      </c>
      <c r="F7" s="18"/>
      <c r="G7" s="19"/>
      <c r="H7" s="20"/>
    </row>
    <row r="8" spans="1:8">
      <c r="A8" s="827"/>
      <c r="B8" s="16" t="s">
        <v>54</v>
      </c>
      <c r="C8" s="249">
        <f>C9-C7</f>
        <v>1047</v>
      </c>
      <c r="D8" s="21" t="s">
        <v>145</v>
      </c>
      <c r="E8" s="620">
        <f>C8/C9</f>
        <v>0.5684039087947883</v>
      </c>
      <c r="F8" s="863" t="s">
        <v>29</v>
      </c>
      <c r="G8" s="864"/>
      <c r="H8" s="865"/>
    </row>
    <row r="9" spans="1:8">
      <c r="A9" s="827"/>
      <c r="B9" s="16" t="s">
        <v>125</v>
      </c>
      <c r="C9" s="17">
        <v>1842</v>
      </c>
      <c r="D9" s="698" t="s">
        <v>1062</v>
      </c>
      <c r="E9" s="19"/>
      <c r="F9" s="19"/>
      <c r="G9" s="19"/>
      <c r="H9" s="20"/>
    </row>
    <row r="10" spans="1:8">
      <c r="A10" s="827"/>
      <c r="B10" s="16" t="s">
        <v>427</v>
      </c>
      <c r="C10" s="24">
        <v>0.27379999999999999</v>
      </c>
      <c r="D10" s="551" t="s">
        <v>84</v>
      </c>
      <c r="E10" s="545">
        <f>G6*C10</f>
        <v>23904.054240000001</v>
      </c>
      <c r="F10" s="544" t="s">
        <v>41</v>
      </c>
      <c r="G10" s="541">
        <f>E11/E10</f>
        <v>8.6570489408327234</v>
      </c>
      <c r="H10" s="29"/>
    </row>
    <row r="11" spans="1:8">
      <c r="A11" s="827"/>
      <c r="B11" s="16" t="s">
        <v>466</v>
      </c>
      <c r="C11" s="24">
        <v>2.3702999999999999</v>
      </c>
      <c r="D11" s="551" t="s">
        <v>631</v>
      </c>
      <c r="E11" s="546">
        <f>G6*C11</f>
        <v>206938.56743999998</v>
      </c>
      <c r="F11" s="544" t="s">
        <v>209</v>
      </c>
      <c r="G11" s="541">
        <f>E11*76%</f>
        <v>157273.3112544</v>
      </c>
      <c r="H11" s="31"/>
    </row>
    <row r="12" spans="1:8" ht="32">
      <c r="A12" s="827"/>
      <c r="B12" s="16" t="s">
        <v>208</v>
      </c>
      <c r="C12" s="588" t="s">
        <v>1047</v>
      </c>
      <c r="D12" s="550" t="s">
        <v>629</v>
      </c>
      <c r="E12" s="529" t="s">
        <v>625</v>
      </c>
      <c r="F12" s="542" t="s">
        <v>234</v>
      </c>
      <c r="G12" s="543">
        <f>G11/C38</f>
        <v>86.31905118243688</v>
      </c>
      <c r="H12" s="55"/>
    </row>
    <row r="13" spans="1:8">
      <c r="A13" s="827"/>
      <c r="B13" s="16" t="s">
        <v>441</v>
      </c>
      <c r="C13" s="25" t="s">
        <v>815</v>
      </c>
      <c r="D13" s="544" t="s">
        <v>630</v>
      </c>
      <c r="E13" s="547" t="e">
        <f>C7*E12</f>
        <v>#VALUE!</v>
      </c>
      <c r="F13" s="540" t="s">
        <v>632</v>
      </c>
      <c r="G13" s="541">
        <f>E11*0.3025/F5</f>
        <v>1884.3884999999998</v>
      </c>
      <c r="H13" s="20"/>
    </row>
    <row r="14" spans="1:8">
      <c r="A14" s="827"/>
      <c r="B14" s="32" t="s">
        <v>641</v>
      </c>
      <c r="C14" s="33">
        <v>1</v>
      </c>
      <c r="D14" s="549" t="s">
        <v>633</v>
      </c>
      <c r="E14" s="530" t="s">
        <v>625</v>
      </c>
      <c r="F14" s="538" t="s">
        <v>645</v>
      </c>
      <c r="G14" s="539" t="e">
        <f>E14*G13</f>
        <v>#VALUE!</v>
      </c>
      <c r="H14" s="20"/>
    </row>
    <row r="15" spans="1:8" ht="3.65" customHeight="1">
      <c r="A15" s="827"/>
      <c r="B15" s="516"/>
      <c r="C15" s="517"/>
      <c r="D15" s="518"/>
      <c r="E15" s="155"/>
      <c r="F15" s="514"/>
      <c r="G15" s="519"/>
      <c r="H15" s="156"/>
    </row>
    <row r="16" spans="1:8">
      <c r="A16" s="877"/>
      <c r="B16" s="701" t="s">
        <v>635</v>
      </c>
      <c r="C16" s="702" t="e">
        <f>E16+G16</f>
        <v>#VALUE!</v>
      </c>
      <c r="D16" s="703" t="s">
        <v>643</v>
      </c>
      <c r="E16" s="547" t="e">
        <f>G14*F4</f>
        <v>#VALUE!</v>
      </c>
      <c r="F16" s="704" t="s">
        <v>634</v>
      </c>
      <c r="G16" s="547" t="e">
        <f>E16*30%</f>
        <v>#VALUE!</v>
      </c>
      <c r="H16" s="594"/>
    </row>
    <row r="17" spans="1:8">
      <c r="A17" s="877"/>
      <c r="B17" s="551" t="s">
        <v>638</v>
      </c>
      <c r="C17" s="527" t="e">
        <f>(E17*C7)+(G17*C8)</f>
        <v>#VALUE!</v>
      </c>
      <c r="D17" s="528" t="s">
        <v>636</v>
      </c>
      <c r="E17" s="529" t="s">
        <v>625</v>
      </c>
      <c r="F17" s="530" t="s">
        <v>637</v>
      </c>
      <c r="G17" s="529" t="s">
        <v>625</v>
      </c>
      <c r="H17" s="594"/>
    </row>
    <row r="18" spans="1:8" ht="32.5" thickBot="1">
      <c r="A18" s="999"/>
      <c r="B18" s="705" t="s">
        <v>642</v>
      </c>
      <c r="C18" s="686" t="e">
        <f>E18/E13</f>
        <v>#VALUE!</v>
      </c>
      <c r="D18" s="687" t="s">
        <v>639</v>
      </c>
      <c r="E18" s="688" t="e">
        <f>C17-C16</f>
        <v>#VALUE!</v>
      </c>
      <c r="F18" s="689" t="s">
        <v>640</v>
      </c>
      <c r="G18" s="688" t="e">
        <f>E18/C7</f>
        <v>#VALUE!</v>
      </c>
      <c r="H18" s="690"/>
    </row>
    <row r="19" spans="1:8" ht="5.25" customHeight="1" thickBot="1">
      <c r="A19" s="39"/>
      <c r="B19" s="515"/>
      <c r="C19" s="41"/>
      <c r="D19" s="41"/>
      <c r="H19" s="42"/>
    </row>
    <row r="20" spans="1:8">
      <c r="A20" s="875" t="s">
        <v>49</v>
      </c>
      <c r="B20" s="43" t="s">
        <v>81</v>
      </c>
      <c r="C20" s="44" t="s">
        <v>817</v>
      </c>
      <c r="D20" s="45"/>
      <c r="E20" s="9"/>
      <c r="F20" s="9"/>
      <c r="G20" s="9"/>
      <c r="H20" s="10"/>
    </row>
    <row r="21" spans="1:8">
      <c r="A21" s="827"/>
      <c r="B21" s="25" t="s">
        <v>147</v>
      </c>
      <c r="C21" s="46" t="s">
        <v>1048</v>
      </c>
      <c r="D21" s="47"/>
      <c r="E21" s="19"/>
      <c r="F21" s="19"/>
      <c r="G21" s="19"/>
      <c r="H21" s="20"/>
    </row>
    <row r="22" spans="1:8">
      <c r="A22" s="827"/>
      <c r="B22" s="25" t="s">
        <v>1049</v>
      </c>
      <c r="C22" s="622" t="s">
        <v>1050</v>
      </c>
      <c r="D22" s="47"/>
      <c r="E22" s="19"/>
      <c r="F22" s="19"/>
      <c r="G22" s="19"/>
      <c r="H22" s="20"/>
    </row>
    <row r="23" spans="1:8">
      <c r="A23" s="827"/>
      <c r="B23" s="25" t="s">
        <v>98</v>
      </c>
      <c r="C23" s="46" t="s">
        <v>1046</v>
      </c>
      <c r="D23" s="47"/>
      <c r="E23" s="19"/>
      <c r="F23" s="19"/>
      <c r="G23" s="19"/>
      <c r="H23" s="20"/>
    </row>
    <row r="24" spans="1:8">
      <c r="A24" s="827"/>
      <c r="B24" s="25" t="s">
        <v>73</v>
      </c>
      <c r="C24" s="25" t="s">
        <v>1051</v>
      </c>
      <c r="D24" s="23"/>
      <c r="E24" s="19"/>
      <c r="F24" s="19"/>
      <c r="G24" s="19"/>
      <c r="H24" s="20"/>
    </row>
    <row r="25" spans="1:8">
      <c r="A25" s="827"/>
      <c r="B25" s="25" t="s">
        <v>452</v>
      </c>
      <c r="C25" s="25" t="s">
        <v>1052</v>
      </c>
      <c r="D25" s="23"/>
      <c r="E25" s="19"/>
      <c r="F25" s="19"/>
      <c r="G25" s="19"/>
      <c r="H25" s="20"/>
    </row>
    <row r="26" spans="1:8">
      <c r="A26" s="827"/>
      <c r="B26" s="25" t="s">
        <v>445</v>
      </c>
      <c r="C26" s="25" t="s">
        <v>1053</v>
      </c>
      <c r="D26" s="23"/>
      <c r="E26" s="19"/>
      <c r="F26" s="19"/>
      <c r="G26" s="19"/>
      <c r="H26" s="20"/>
    </row>
    <row r="27" spans="1:8">
      <c r="A27" s="827"/>
      <c r="B27" s="25" t="s">
        <v>167</v>
      </c>
      <c r="C27" s="25" t="s">
        <v>1054</v>
      </c>
      <c r="D27" s="23"/>
      <c r="E27" s="19"/>
      <c r="F27" s="19"/>
      <c r="G27" s="19"/>
      <c r="H27" s="20"/>
    </row>
    <row r="28" spans="1:8" ht="16.5" thickBot="1">
      <c r="A28" s="828"/>
      <c r="B28" s="697" t="s">
        <v>447</v>
      </c>
      <c r="C28" s="697" t="s">
        <v>1055</v>
      </c>
      <c r="D28" s="48"/>
      <c r="E28" s="37"/>
      <c r="F28" s="37"/>
      <c r="G28" s="37"/>
      <c r="H28" s="38"/>
    </row>
    <row r="29" spans="1:8" ht="5.25" customHeight="1" thickBot="1">
      <c r="A29" s="39"/>
      <c r="B29" s="40"/>
      <c r="H29" s="42"/>
    </row>
    <row r="30" spans="1:8" s="5" customFormat="1">
      <c r="A30" s="875" t="s">
        <v>160</v>
      </c>
      <c r="B30" s="241" t="s">
        <v>101</v>
      </c>
      <c r="C30" s="242" t="s">
        <v>48</v>
      </c>
      <c r="D30" s="243" t="s">
        <v>125</v>
      </c>
      <c r="E30" s="243" t="s">
        <v>526</v>
      </c>
      <c r="F30" s="243" t="s">
        <v>527</v>
      </c>
      <c r="G30" s="243" t="s">
        <v>528</v>
      </c>
      <c r="H30" s="244" t="s">
        <v>454</v>
      </c>
    </row>
    <row r="31" spans="1:8">
      <c r="A31" s="827"/>
      <c r="B31" s="16" t="s">
        <v>1063</v>
      </c>
      <c r="C31" s="53">
        <v>126</v>
      </c>
      <c r="D31" s="17"/>
      <c r="E31" s="54"/>
      <c r="F31" s="54"/>
      <c r="G31" s="54"/>
      <c r="H31" s="55" t="e">
        <f t="shared" ref="H31:H37" si="0">D31/$D$38</f>
        <v>#DIV/0!</v>
      </c>
    </row>
    <row r="32" spans="1:8">
      <c r="A32" s="827"/>
      <c r="B32" s="16" t="s">
        <v>1056</v>
      </c>
      <c r="C32" s="53">
        <v>10</v>
      </c>
      <c r="D32" s="17"/>
      <c r="E32" s="54"/>
      <c r="F32" s="160"/>
      <c r="G32" s="54"/>
      <c r="H32" s="55" t="e">
        <f t="shared" si="0"/>
        <v>#DIV/0!</v>
      </c>
    </row>
    <row r="33" spans="1:8">
      <c r="A33" s="827"/>
      <c r="B33" s="16" t="s">
        <v>1057</v>
      </c>
      <c r="C33" s="53">
        <v>841</v>
      </c>
      <c r="D33" s="17"/>
      <c r="E33" s="54"/>
      <c r="F33" s="160"/>
      <c r="G33" s="54"/>
      <c r="H33" s="55" t="e">
        <f t="shared" si="0"/>
        <v>#DIV/0!</v>
      </c>
    </row>
    <row r="34" spans="1:8">
      <c r="A34" s="827"/>
      <c r="B34" s="16" t="s">
        <v>1058</v>
      </c>
      <c r="C34" s="53">
        <v>161</v>
      </c>
      <c r="D34" s="17"/>
      <c r="E34" s="54"/>
      <c r="F34" s="160"/>
      <c r="G34" s="54"/>
      <c r="H34" s="55" t="e">
        <f t="shared" si="0"/>
        <v>#DIV/0!</v>
      </c>
    </row>
    <row r="35" spans="1:8">
      <c r="A35" s="827"/>
      <c r="B35" s="16" t="s">
        <v>1059</v>
      </c>
      <c r="C35" s="53">
        <v>582</v>
      </c>
      <c r="D35" s="17"/>
      <c r="E35" s="54"/>
      <c r="F35" s="160"/>
      <c r="G35" s="54"/>
      <c r="H35" s="55" t="e">
        <f t="shared" si="0"/>
        <v>#DIV/0!</v>
      </c>
    </row>
    <row r="36" spans="1:8">
      <c r="A36" s="827"/>
      <c r="B36" s="16" t="s">
        <v>1060</v>
      </c>
      <c r="C36" s="53">
        <v>81</v>
      </c>
      <c r="D36" s="17"/>
      <c r="E36" s="54"/>
      <c r="F36" s="160"/>
      <c r="G36" s="54"/>
      <c r="H36" s="55" t="e">
        <f t="shared" si="0"/>
        <v>#DIV/0!</v>
      </c>
    </row>
    <row r="37" spans="1:8">
      <c r="A37" s="827"/>
      <c r="B37" s="32" t="s">
        <v>1061</v>
      </c>
      <c r="C37" s="495">
        <v>21</v>
      </c>
      <c r="D37" s="692"/>
      <c r="E37" s="693"/>
      <c r="F37" s="694"/>
      <c r="G37" s="693"/>
      <c r="H37" s="55" t="e">
        <f t="shared" si="0"/>
        <v>#DIV/0!</v>
      </c>
    </row>
    <row r="38" spans="1:8" ht="16.5" thickBot="1">
      <c r="A38" s="828"/>
      <c r="B38" s="56" t="s">
        <v>462</v>
      </c>
      <c r="C38" s="57">
        <f>SUM(C31:C37)</f>
        <v>1822</v>
      </c>
      <c r="D38" s="58">
        <f t="shared" ref="D38:H38" si="1">SUM(D31:D36)</f>
        <v>0</v>
      </c>
      <c r="E38" s="59">
        <f t="shared" si="1"/>
        <v>0</v>
      </c>
      <c r="F38" s="59">
        <f t="shared" si="1"/>
        <v>0</v>
      </c>
      <c r="G38" s="59">
        <f t="shared" si="1"/>
        <v>0</v>
      </c>
      <c r="H38" s="60" t="e">
        <f t="shared" si="1"/>
        <v>#DIV/0!</v>
      </c>
    </row>
    <row r="39" spans="1:8" ht="4.5" customHeight="1" thickBot="1">
      <c r="A39" s="39"/>
      <c r="B39" s="40"/>
      <c r="H39" s="42"/>
    </row>
    <row r="40" spans="1:8" s="2" customFormat="1">
      <c r="A40" s="962" t="s">
        <v>393</v>
      </c>
      <c r="B40" s="241" t="s">
        <v>101</v>
      </c>
      <c r="C40" s="243" t="s">
        <v>839</v>
      </c>
      <c r="D40" s="243" t="s">
        <v>840</v>
      </c>
      <c r="E40" s="243" t="s">
        <v>43</v>
      </c>
      <c r="F40" s="243" t="s">
        <v>903</v>
      </c>
      <c r="G40" s="700" t="s">
        <v>46</v>
      </c>
      <c r="H40" s="246" t="s">
        <v>470</v>
      </c>
    </row>
    <row r="41" spans="1:8" ht="16.5" customHeight="1">
      <c r="A41" s="963"/>
      <c r="B41" s="16" t="s">
        <v>1063</v>
      </c>
      <c r="C41" s="62"/>
      <c r="D41" s="63"/>
      <c r="E41" s="252"/>
      <c r="F41" s="63"/>
      <c r="G41" s="252"/>
      <c r="H41" s="31"/>
    </row>
    <row r="42" spans="1:8" ht="16.5" customHeight="1">
      <c r="A42" s="963"/>
      <c r="B42" s="16" t="s">
        <v>1056</v>
      </c>
      <c r="C42" s="62"/>
      <c r="D42" s="63"/>
      <c r="E42" s="252">
        <f>(D42-C42)*25</f>
        <v>0</v>
      </c>
      <c r="F42" s="63"/>
      <c r="G42" s="252">
        <f>(F42-C42)*25</f>
        <v>0</v>
      </c>
      <c r="H42" s="31"/>
    </row>
    <row r="43" spans="1:8" ht="16.5" customHeight="1">
      <c r="A43" s="963"/>
      <c r="B43" s="16" t="s">
        <v>1057</v>
      </c>
      <c r="C43" s="62"/>
      <c r="D43" s="63"/>
      <c r="E43" s="252">
        <f>(D43-C43)*25</f>
        <v>0</v>
      </c>
      <c r="F43" s="63"/>
      <c r="G43" s="252">
        <f>(F43-C43)*25</f>
        <v>0</v>
      </c>
      <c r="H43" s="31"/>
    </row>
    <row r="44" spans="1:8" ht="16.5" customHeight="1">
      <c r="A44" s="963"/>
      <c r="B44" s="16" t="s">
        <v>1058</v>
      </c>
      <c r="C44" s="62"/>
      <c r="D44" s="63"/>
      <c r="E44" s="252">
        <f>(D44-C44)*34</f>
        <v>0</v>
      </c>
      <c r="F44" s="63"/>
      <c r="G44" s="252">
        <f>(F44-C44)*34</f>
        <v>0</v>
      </c>
      <c r="H44" s="31"/>
    </row>
    <row r="45" spans="1:8" ht="16.5" customHeight="1">
      <c r="A45" s="963"/>
      <c r="B45" s="16" t="s">
        <v>1059</v>
      </c>
      <c r="C45" s="62"/>
      <c r="D45" s="63"/>
      <c r="E45" s="252"/>
      <c r="F45" s="63"/>
      <c r="G45" s="252"/>
      <c r="H45" s="31"/>
    </row>
    <row r="46" spans="1:8" ht="16.5" customHeight="1">
      <c r="A46" s="963"/>
      <c r="B46" s="16" t="s">
        <v>1060</v>
      </c>
      <c r="C46" s="724">
        <f>F46*70%</f>
        <v>14818999.999999998</v>
      </c>
      <c r="D46" s="63">
        <f>F46-2000000</f>
        <v>19170000</v>
      </c>
      <c r="E46" s="252">
        <f>(D46-C46)*34</f>
        <v>147934000.00000006</v>
      </c>
      <c r="F46" s="723">
        <v>21170000</v>
      </c>
      <c r="G46" s="252">
        <f>(F46-C46)*34</f>
        <v>215934000.00000006</v>
      </c>
      <c r="H46" s="31" t="s">
        <v>1388</v>
      </c>
    </row>
    <row r="47" spans="1:8" ht="16.5" customHeight="1" thickBot="1">
      <c r="A47" s="964"/>
      <c r="B47" s="56" t="s">
        <v>1061</v>
      </c>
      <c r="C47" s="64"/>
      <c r="D47" s="65"/>
      <c r="E47" s="366">
        <f>(D47-C47)*39</f>
        <v>0</v>
      </c>
      <c r="F47" s="65"/>
      <c r="G47" s="366">
        <f>(F47-C47)*39</f>
        <v>0</v>
      </c>
      <c r="H47" s="66"/>
    </row>
    <row r="48" spans="1:8" ht="5.25" customHeight="1" thickBot="1">
      <c r="A48" s="67"/>
      <c r="C48" s="68"/>
      <c r="D48" s="69"/>
      <c r="E48" s="69"/>
      <c r="F48" s="69"/>
      <c r="G48" s="69"/>
    </row>
    <row r="49" spans="1:9" ht="57.5" customHeight="1">
      <c r="A49" s="833" t="s">
        <v>257</v>
      </c>
      <c r="B49" s="243" t="s">
        <v>101</v>
      </c>
      <c r="C49" s="508" t="s">
        <v>1394</v>
      </c>
      <c r="D49" s="247" t="s">
        <v>247</v>
      </c>
      <c r="E49" s="247" t="s">
        <v>322</v>
      </c>
      <c r="F49" s="247" t="s">
        <v>222</v>
      </c>
      <c r="G49" s="247" t="s">
        <v>367</v>
      </c>
      <c r="H49" s="722" t="s">
        <v>1197</v>
      </c>
      <c r="I49" s="1000" t="s">
        <v>1205</v>
      </c>
    </row>
    <row r="50" spans="1:9" ht="15" customHeight="1">
      <c r="A50" s="878"/>
      <c r="B50" s="16" t="s">
        <v>1063</v>
      </c>
      <c r="C50" s="71" t="s">
        <v>436</v>
      </c>
      <c r="D50" s="62">
        <f>E41</f>
        <v>0</v>
      </c>
      <c r="E50" s="253" t="e">
        <f t="shared" ref="E50:E56" si="2">D50-C50</f>
        <v>#VALUE!</v>
      </c>
      <c r="F50" s="62">
        <f>G41</f>
        <v>0</v>
      </c>
      <c r="G50" s="253" t="e">
        <f t="shared" ref="G50:G56" si="3">F50-C50</f>
        <v>#VALUE!</v>
      </c>
      <c r="H50" s="731"/>
      <c r="I50" s="1001"/>
    </row>
    <row r="51" spans="1:9">
      <c r="A51" s="834"/>
      <c r="B51" s="16" t="s">
        <v>1056</v>
      </c>
      <c r="C51" s="71" t="s">
        <v>625</v>
      </c>
      <c r="D51" s="62">
        <f>E42</f>
        <v>0</v>
      </c>
      <c r="E51" s="253" t="e">
        <f t="shared" si="2"/>
        <v>#VALUE!</v>
      </c>
      <c r="F51" s="62">
        <f>G42</f>
        <v>0</v>
      </c>
      <c r="G51" s="253" t="e">
        <f t="shared" si="3"/>
        <v>#VALUE!</v>
      </c>
      <c r="H51" s="731"/>
      <c r="I51" s="1001"/>
    </row>
    <row r="52" spans="1:9">
      <c r="A52" s="834"/>
      <c r="B52" s="16" t="s">
        <v>1057</v>
      </c>
      <c r="C52" s="71"/>
      <c r="D52" s="62">
        <f>E43</f>
        <v>0</v>
      </c>
      <c r="E52" s="253">
        <f t="shared" si="2"/>
        <v>0</v>
      </c>
      <c r="F52" s="62">
        <f>G43</f>
        <v>0</v>
      </c>
      <c r="G52" s="253">
        <f t="shared" si="3"/>
        <v>0</v>
      </c>
      <c r="H52" s="731"/>
      <c r="I52" s="1001"/>
    </row>
    <row r="53" spans="1:9">
      <c r="A53" s="834"/>
      <c r="B53" s="16" t="s">
        <v>1058</v>
      </c>
      <c r="C53" s="71" t="s">
        <v>625</v>
      </c>
      <c r="D53" s="62">
        <f>E44</f>
        <v>0</v>
      </c>
      <c r="E53" s="253" t="e">
        <f t="shared" si="2"/>
        <v>#VALUE!</v>
      </c>
      <c r="F53" s="62">
        <f>G44</f>
        <v>0</v>
      </c>
      <c r="G53" s="253" t="e">
        <f t="shared" si="3"/>
        <v>#VALUE!</v>
      </c>
      <c r="H53" s="731"/>
      <c r="I53" s="1001"/>
    </row>
    <row r="54" spans="1:9">
      <c r="A54" s="834"/>
      <c r="B54" s="16" t="s">
        <v>1059</v>
      </c>
      <c r="C54" s="71"/>
      <c r="D54" s="62"/>
      <c r="E54" s="253"/>
      <c r="F54" s="62"/>
      <c r="G54" s="253"/>
      <c r="H54" s="731"/>
      <c r="I54" s="1002"/>
    </row>
    <row r="55" spans="1:9" ht="17">
      <c r="A55" s="834"/>
      <c r="B55" s="16" t="s">
        <v>1060</v>
      </c>
      <c r="C55" s="71">
        <v>190000000</v>
      </c>
      <c r="D55" s="62">
        <f>E46</f>
        <v>147934000.00000006</v>
      </c>
      <c r="E55" s="253">
        <f t="shared" si="2"/>
        <v>-42065999.99999994</v>
      </c>
      <c r="F55" s="62">
        <f>G46</f>
        <v>215934000.00000006</v>
      </c>
      <c r="G55" s="253">
        <f t="shared" si="3"/>
        <v>25934000.00000006</v>
      </c>
      <c r="H55" s="731">
        <f>(C55+(C46*34))/34</f>
        <v>20407235.294117648</v>
      </c>
      <c r="I55" s="751">
        <f>H55/F46</f>
        <v>0.96396954625024323</v>
      </c>
    </row>
    <row r="56" spans="1:9" ht="16.5" thickBot="1">
      <c r="A56" s="836"/>
      <c r="B56" s="56" t="s">
        <v>1061</v>
      </c>
      <c r="C56" s="74" t="s">
        <v>436</v>
      </c>
      <c r="D56" s="64">
        <f>E47</f>
        <v>0</v>
      </c>
      <c r="E56" s="255" t="e">
        <f t="shared" si="2"/>
        <v>#VALUE!</v>
      </c>
      <c r="F56" s="64">
        <f>G47</f>
        <v>0</v>
      </c>
      <c r="G56" s="255" t="e">
        <f t="shared" si="3"/>
        <v>#VALUE!</v>
      </c>
      <c r="H56" s="732"/>
      <c r="I56" s="66"/>
    </row>
    <row r="57" spans="1:9" ht="5" customHeight="1" thickBot="1"/>
    <row r="58" spans="1:9">
      <c r="A58" s="833" t="s">
        <v>598</v>
      </c>
      <c r="B58" s="243" t="s">
        <v>599</v>
      </c>
      <c r="C58" s="242" t="s">
        <v>660</v>
      </c>
      <c r="D58" s="965" t="s">
        <v>600</v>
      </c>
      <c r="E58" s="965"/>
      <c r="F58" s="965"/>
      <c r="G58" s="965"/>
      <c r="H58" s="966"/>
    </row>
    <row r="59" spans="1:9" ht="17">
      <c r="A59" s="834"/>
      <c r="B59" s="165" t="s">
        <v>601</v>
      </c>
      <c r="C59" s="708">
        <v>1100</v>
      </c>
      <c r="D59" s="617"/>
      <c r="E59" s="54"/>
      <c r="F59" s="54"/>
      <c r="G59" s="54"/>
      <c r="H59" s="31"/>
    </row>
    <row r="60" spans="1:9">
      <c r="A60" s="834"/>
      <c r="B60" s="165" t="s">
        <v>602</v>
      </c>
      <c r="C60" s="708">
        <v>1400</v>
      </c>
      <c r="D60" s="17"/>
      <c r="E60" s="54"/>
      <c r="F60" s="54"/>
      <c r="G60" s="54"/>
      <c r="H60" s="31"/>
    </row>
    <row r="61" spans="1:9">
      <c r="A61" s="834"/>
      <c r="B61" s="165" t="s">
        <v>603</v>
      </c>
      <c r="C61" s="626">
        <v>1400</v>
      </c>
      <c r="D61" s="17"/>
      <c r="E61" s="54"/>
      <c r="F61" s="54"/>
      <c r="G61" s="54"/>
      <c r="H61" s="31"/>
    </row>
    <row r="62" spans="1:9">
      <c r="A62" s="834"/>
      <c r="B62" s="165" t="s">
        <v>604</v>
      </c>
      <c r="C62" s="626">
        <v>2217</v>
      </c>
      <c r="D62" s="17"/>
      <c r="E62" s="54"/>
      <c r="F62" s="54"/>
      <c r="G62" s="54"/>
      <c r="H62" s="31"/>
    </row>
    <row r="63" spans="1:9">
      <c r="A63" s="834"/>
      <c r="B63" s="165" t="s">
        <v>605</v>
      </c>
      <c r="C63" s="626">
        <f>H55/10000</f>
        <v>2040.7235294117647</v>
      </c>
      <c r="D63" s="17"/>
      <c r="E63" s="54"/>
      <c r="F63" s="54"/>
      <c r="G63" s="54"/>
      <c r="H63" s="31"/>
    </row>
    <row r="64" spans="1:9">
      <c r="A64" s="834"/>
      <c r="B64" s="165" t="s">
        <v>606</v>
      </c>
      <c r="C64" s="626"/>
      <c r="D64" s="17"/>
      <c r="E64" s="54"/>
      <c r="F64" s="54"/>
      <c r="G64" s="54"/>
      <c r="H64" s="31"/>
    </row>
    <row r="65" spans="1:8">
      <c r="A65" s="834"/>
      <c r="B65" s="165" t="s">
        <v>607</v>
      </c>
      <c r="C65" s="626"/>
      <c r="D65" s="17"/>
      <c r="E65" s="54"/>
      <c r="F65" s="54"/>
      <c r="G65" s="54"/>
      <c r="H65" s="31"/>
    </row>
    <row r="66" spans="1:8">
      <c r="A66" s="834"/>
      <c r="B66" s="165" t="s">
        <v>608</v>
      </c>
      <c r="C66" s="626"/>
      <c r="D66" s="17"/>
      <c r="E66" s="54"/>
      <c r="F66" s="54"/>
      <c r="G66" s="54"/>
      <c r="H66" s="31"/>
    </row>
    <row r="67" spans="1:8">
      <c r="A67" s="834"/>
      <c r="B67" s="165" t="s">
        <v>1201</v>
      </c>
      <c r="C67" s="626"/>
      <c r="D67" s="17"/>
      <c r="E67" s="54"/>
      <c r="F67" s="54"/>
      <c r="G67" s="54"/>
      <c r="H67" s="31"/>
    </row>
    <row r="68" spans="1:8">
      <c r="A68" s="834"/>
      <c r="B68" s="165" t="s">
        <v>1202</v>
      </c>
      <c r="C68" s="626"/>
      <c r="D68" s="17"/>
      <c r="E68" s="54"/>
      <c r="F68" s="54"/>
      <c r="G68" s="54"/>
      <c r="H68" s="31"/>
    </row>
    <row r="69" spans="1:8">
      <c r="A69" s="834"/>
      <c r="B69" s="165" t="s">
        <v>1203</v>
      </c>
      <c r="C69" s="626"/>
      <c r="D69" s="17"/>
      <c r="E69" s="54"/>
      <c r="F69" s="54"/>
      <c r="G69" s="54"/>
      <c r="H69" s="31"/>
    </row>
    <row r="70" spans="1:8">
      <c r="A70" s="834"/>
      <c r="B70" s="165" t="s">
        <v>1204</v>
      </c>
      <c r="C70" s="626"/>
      <c r="D70" s="17"/>
      <c r="E70" s="54"/>
      <c r="F70" s="54"/>
      <c r="G70" s="54"/>
      <c r="H70" s="31"/>
    </row>
    <row r="71" spans="1:8" ht="17.5" thickBot="1">
      <c r="A71" s="836"/>
      <c r="B71" s="490" t="s">
        <v>832</v>
      </c>
      <c r="C71" s="628"/>
      <c r="D71" s="618"/>
      <c r="E71" s="619"/>
      <c r="F71" s="619"/>
      <c r="G71" s="619"/>
      <c r="H71" s="66"/>
    </row>
    <row r="72" spans="1:8">
      <c r="A72" s="826" t="s">
        <v>650</v>
      </c>
      <c r="B72" s="699" t="s">
        <v>833</v>
      </c>
      <c r="C72" s="565"/>
      <c r="D72" s="566"/>
      <c r="E72" s="559"/>
      <c r="F72" s="559"/>
      <c r="G72" s="559"/>
      <c r="H72" s="567"/>
    </row>
    <row r="73" spans="1:8">
      <c r="A73" s="827"/>
      <c r="B73" s="206" t="s">
        <v>1064</v>
      </c>
      <c r="C73" s="78"/>
      <c r="D73" s="79"/>
      <c r="E73" s="76"/>
      <c r="F73" s="76"/>
      <c r="G73" s="76"/>
      <c r="H73" s="114"/>
    </row>
    <row r="74" spans="1:8">
      <c r="A74" s="827"/>
      <c r="B74" s="206" t="s">
        <v>1065</v>
      </c>
      <c r="C74" s="78"/>
      <c r="D74" s="79"/>
      <c r="E74" s="76"/>
      <c r="F74" s="76"/>
      <c r="G74" s="76"/>
      <c r="H74" s="114"/>
    </row>
    <row r="75" spans="1:8" ht="16.5" thickBot="1">
      <c r="A75" s="828"/>
      <c r="B75" s="568" t="s">
        <v>1066</v>
      </c>
      <c r="C75" s="569"/>
      <c r="D75" s="570"/>
      <c r="E75" s="571"/>
      <c r="F75" s="571"/>
      <c r="G75" s="571"/>
      <c r="H75" s="572"/>
    </row>
  </sheetData>
  <mergeCells count="15">
    <mergeCell ref="A72:A75"/>
    <mergeCell ref="A20:A28"/>
    <mergeCell ref="A30:A38"/>
    <mergeCell ref="A40:A47"/>
    <mergeCell ref="A49:A56"/>
    <mergeCell ref="A58:A71"/>
    <mergeCell ref="I49:I54"/>
    <mergeCell ref="D58:H58"/>
    <mergeCell ref="A1:H1"/>
    <mergeCell ref="A2:A18"/>
    <mergeCell ref="C4:D4"/>
    <mergeCell ref="D5:E5"/>
    <mergeCell ref="G5:H5"/>
    <mergeCell ref="G6:H6"/>
    <mergeCell ref="F8:H8"/>
  </mergeCells>
  <phoneticPr fontId="16" type="noConversion"/>
  <pageMargins left="0.69972223043441772" right="0.69972223043441772" top="0.75" bottom="0.75" header="0.30000001192092896" footer="0.30000001192092896"/>
  <pageSetup paperSize="9" scale="86" orientation="portrait" horizontalDpi="4294967293" verticalDpi="4294967293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74"/>
  <sheetViews>
    <sheetView showGridLines="0" topLeftCell="A42" zoomScale="70" zoomScaleNormal="70" zoomScaleSheetLayoutView="70" workbookViewId="0">
      <selection activeCell="C62" sqref="C62"/>
    </sheetView>
  </sheetViews>
  <sheetFormatPr defaultColWidth="13.4140625" defaultRowHeight="16"/>
  <cols>
    <col min="1" max="1" width="4.9140625" style="1" customWidth="1"/>
    <col min="2" max="2" width="17.5" style="2" bestFit="1" customWidth="1"/>
    <col min="3" max="3" width="24.9140625" style="3" customWidth="1"/>
    <col min="4" max="4" width="19.6640625" style="4" customWidth="1"/>
    <col min="5" max="5" width="21.6640625" style="1" bestFit="1" customWidth="1"/>
    <col min="6" max="6" width="18.6640625" style="1" customWidth="1"/>
    <col min="7" max="7" width="18.08203125" style="1" bestFit="1" customWidth="1"/>
    <col min="8" max="8" width="15.33203125" style="1" bestFit="1" customWidth="1"/>
    <col min="9" max="9" width="27.25" style="1" bestFit="1" customWidth="1"/>
    <col min="10" max="16384" width="13.4140625" style="1"/>
  </cols>
  <sheetData>
    <row r="1" spans="1:8" ht="31.5" customHeight="1" thickBot="1">
      <c r="A1" s="872" t="s">
        <v>810</v>
      </c>
      <c r="B1" s="873"/>
      <c r="C1" s="873"/>
      <c r="D1" s="873"/>
      <c r="E1" s="873"/>
      <c r="F1" s="873"/>
      <c r="G1" s="873"/>
      <c r="H1" s="874"/>
    </row>
    <row r="2" spans="1:8">
      <c r="A2" s="875" t="s">
        <v>112</v>
      </c>
      <c r="B2" s="6" t="s">
        <v>420</v>
      </c>
      <c r="C2" s="7" t="s">
        <v>811</v>
      </c>
      <c r="D2" s="8"/>
      <c r="E2" s="9"/>
      <c r="F2" s="9"/>
      <c r="G2" s="9"/>
      <c r="H2" s="10"/>
    </row>
    <row r="3" spans="1:8">
      <c r="A3" s="876"/>
      <c r="B3" s="11" t="s">
        <v>471</v>
      </c>
      <c r="C3" s="12" t="s">
        <v>812</v>
      </c>
      <c r="D3" s="13"/>
      <c r="E3" s="14"/>
      <c r="F3" s="14"/>
      <c r="G3" s="14"/>
      <c r="H3" s="15"/>
    </row>
    <row r="4" spans="1:8">
      <c r="A4" s="876"/>
      <c r="B4" s="11" t="s">
        <v>407</v>
      </c>
      <c r="C4" s="856" t="s">
        <v>816</v>
      </c>
      <c r="D4" s="857"/>
      <c r="E4" s="548" t="s">
        <v>644</v>
      </c>
      <c r="F4" s="529">
        <v>4500000</v>
      </c>
      <c r="G4" s="14"/>
      <c r="H4" s="15"/>
    </row>
    <row r="5" spans="1:8" ht="31.75" customHeight="1">
      <c r="A5" s="827"/>
      <c r="B5" s="16" t="s">
        <v>626</v>
      </c>
      <c r="C5" s="17">
        <v>17460</v>
      </c>
      <c r="D5" s="882" t="s">
        <v>624</v>
      </c>
      <c r="E5" s="859"/>
      <c r="F5" s="621">
        <f>C5*0.3025/C7</f>
        <v>21.915560165975101</v>
      </c>
      <c r="G5" s="858" t="s">
        <v>522</v>
      </c>
      <c r="H5" s="883"/>
    </row>
    <row r="6" spans="1:8">
      <c r="A6" s="827"/>
      <c r="B6" s="16" t="s">
        <v>425</v>
      </c>
      <c r="C6" s="17">
        <v>5</v>
      </c>
      <c r="D6" s="544" t="s">
        <v>627</v>
      </c>
      <c r="E6" s="530"/>
      <c r="F6" s="538" t="s">
        <v>628</v>
      </c>
      <c r="G6" s="884">
        <f>C5-E6</f>
        <v>17460</v>
      </c>
      <c r="H6" s="885"/>
    </row>
    <row r="7" spans="1:8">
      <c r="A7" s="827"/>
      <c r="B7" s="16" t="s">
        <v>121</v>
      </c>
      <c r="C7" s="17">
        <v>241</v>
      </c>
      <c r="D7" s="21" t="s">
        <v>39</v>
      </c>
      <c r="E7" s="251">
        <f>C7/C9</f>
        <v>0.54648526077097503</v>
      </c>
      <c r="F7" s="18"/>
      <c r="G7" s="19"/>
      <c r="H7" s="20"/>
    </row>
    <row r="8" spans="1:8">
      <c r="A8" s="827"/>
      <c r="B8" s="16" t="s">
        <v>54</v>
      </c>
      <c r="C8" s="249">
        <f>C9-C7</f>
        <v>200</v>
      </c>
      <c r="D8" s="21" t="s">
        <v>145</v>
      </c>
      <c r="E8" s="620">
        <f>C8/C9</f>
        <v>0.45351473922902497</v>
      </c>
      <c r="F8" s="863" t="s">
        <v>29</v>
      </c>
      <c r="G8" s="864"/>
      <c r="H8" s="865"/>
    </row>
    <row r="9" spans="1:8">
      <c r="A9" s="827"/>
      <c r="B9" s="16" t="s">
        <v>125</v>
      </c>
      <c r="C9" s="17">
        <v>441</v>
      </c>
      <c r="D9" s="616" t="s">
        <v>813</v>
      </c>
      <c r="E9" s="19"/>
      <c r="F9" s="19"/>
      <c r="G9" s="19"/>
      <c r="H9" s="20"/>
    </row>
    <row r="10" spans="1:8">
      <c r="A10" s="827"/>
      <c r="B10" s="16" t="s">
        <v>427</v>
      </c>
      <c r="C10" s="24">
        <v>0.19670000000000001</v>
      </c>
      <c r="D10" s="551" t="s">
        <v>84</v>
      </c>
      <c r="E10" s="545">
        <f>G6*C10</f>
        <v>3434.3820000000001</v>
      </c>
      <c r="F10" s="544" t="s">
        <v>41</v>
      </c>
      <c r="G10" s="541">
        <f>E11/E10</f>
        <v>14.169293340111846</v>
      </c>
      <c r="H10" s="29"/>
    </row>
    <row r="11" spans="1:8">
      <c r="A11" s="827"/>
      <c r="B11" s="16" t="s">
        <v>466</v>
      </c>
      <c r="C11" s="24">
        <v>2.7871000000000001</v>
      </c>
      <c r="D11" s="551" t="s">
        <v>631</v>
      </c>
      <c r="E11" s="546">
        <f>G6*C11</f>
        <v>48662.766000000003</v>
      </c>
      <c r="F11" s="544" t="s">
        <v>209</v>
      </c>
      <c r="G11" s="541">
        <f>E11*76%</f>
        <v>36983.702160000001</v>
      </c>
      <c r="H11" s="31"/>
    </row>
    <row r="12" spans="1:8" ht="32">
      <c r="A12" s="827"/>
      <c r="B12" s="16" t="s">
        <v>208</v>
      </c>
      <c r="C12" s="588" t="s">
        <v>814</v>
      </c>
      <c r="D12" s="550" t="s">
        <v>629</v>
      </c>
      <c r="E12" s="529" t="s">
        <v>625</v>
      </c>
      <c r="F12" s="542" t="s">
        <v>234</v>
      </c>
      <c r="G12" s="543">
        <f>G11/C36</f>
        <v>1.2033090014641288</v>
      </c>
      <c r="H12" s="55"/>
    </row>
    <row r="13" spans="1:8">
      <c r="A13" s="827"/>
      <c r="B13" s="16" t="s">
        <v>441</v>
      </c>
      <c r="C13" s="25" t="s">
        <v>815</v>
      </c>
      <c r="D13" s="544" t="s">
        <v>630</v>
      </c>
      <c r="E13" s="547" t="e">
        <f>C7*E12</f>
        <v>#VALUE!</v>
      </c>
      <c r="F13" s="540" t="s">
        <v>632</v>
      </c>
      <c r="G13" s="541">
        <f>E11*0.3025/F5</f>
        <v>671.69110000000012</v>
      </c>
      <c r="H13" s="20"/>
    </row>
    <row r="14" spans="1:8">
      <c r="A14" s="827"/>
      <c r="B14" s="32" t="s">
        <v>641</v>
      </c>
      <c r="C14" s="33">
        <v>1</v>
      </c>
      <c r="D14" s="549" t="s">
        <v>633</v>
      </c>
      <c r="E14" s="530" t="s">
        <v>625</v>
      </c>
      <c r="F14" s="538" t="s">
        <v>645</v>
      </c>
      <c r="G14" s="539" t="e">
        <f>E14*G13</f>
        <v>#VALUE!</v>
      </c>
      <c r="H14" s="20"/>
    </row>
    <row r="15" spans="1:8" ht="3.65" customHeight="1" thickBot="1">
      <c r="A15" s="827"/>
      <c r="B15" s="516"/>
      <c r="C15" s="517"/>
      <c r="D15" s="518"/>
      <c r="E15" s="155"/>
      <c r="F15" s="514"/>
      <c r="G15" s="519"/>
      <c r="H15" s="156"/>
    </row>
    <row r="16" spans="1:8" ht="16.5" thickTop="1">
      <c r="A16" s="877"/>
      <c r="B16" s="520" t="s">
        <v>635</v>
      </c>
      <c r="C16" s="521" t="e">
        <f>E16+G16</f>
        <v>#VALUE!</v>
      </c>
      <c r="D16" s="522" t="s">
        <v>643</v>
      </c>
      <c r="E16" s="523" t="e">
        <f>G14*F4</f>
        <v>#VALUE!</v>
      </c>
      <c r="F16" s="524" t="s">
        <v>634</v>
      </c>
      <c r="G16" s="523" t="e">
        <f>E16*30%</f>
        <v>#VALUE!</v>
      </c>
      <c r="H16" s="525"/>
    </row>
    <row r="17" spans="1:8">
      <c r="A17" s="877"/>
      <c r="B17" s="526" t="s">
        <v>638</v>
      </c>
      <c r="C17" s="527" t="e">
        <f>(E17*C7)+(G17*C8)</f>
        <v>#VALUE!</v>
      </c>
      <c r="D17" s="528" t="s">
        <v>636</v>
      </c>
      <c r="E17" s="529" t="s">
        <v>625</v>
      </c>
      <c r="F17" s="530" t="s">
        <v>637</v>
      </c>
      <c r="G17" s="529" t="s">
        <v>625</v>
      </c>
      <c r="H17" s="531"/>
    </row>
    <row r="18" spans="1:8" ht="32.5" thickBot="1">
      <c r="A18" s="877"/>
      <c r="B18" s="532" t="s">
        <v>642</v>
      </c>
      <c r="C18" s="533" t="e">
        <f>E18/E13</f>
        <v>#VALUE!</v>
      </c>
      <c r="D18" s="534" t="s">
        <v>639</v>
      </c>
      <c r="E18" s="535" t="e">
        <f>C17-C16</f>
        <v>#VALUE!</v>
      </c>
      <c r="F18" s="536" t="s">
        <v>640</v>
      </c>
      <c r="G18" s="535" t="e">
        <f>E18/C7</f>
        <v>#VALUE!</v>
      </c>
      <c r="H18" s="537"/>
    </row>
    <row r="19" spans="1:8" ht="5.25" customHeight="1" thickTop="1" thickBot="1">
      <c r="A19" s="39"/>
      <c r="B19" s="515"/>
      <c r="C19" s="41"/>
      <c r="D19" s="41"/>
      <c r="H19" s="42"/>
    </row>
    <row r="20" spans="1:8">
      <c r="A20" s="875" t="s">
        <v>49</v>
      </c>
      <c r="B20" s="43" t="s">
        <v>81</v>
      </c>
      <c r="C20" s="44" t="s">
        <v>817</v>
      </c>
      <c r="D20" s="45"/>
      <c r="E20" s="9"/>
      <c r="F20" s="9"/>
      <c r="G20" s="9"/>
      <c r="H20" s="10"/>
    </row>
    <row r="21" spans="1:8">
      <c r="A21" s="827"/>
      <c r="B21" s="25" t="s">
        <v>147</v>
      </c>
      <c r="C21" s="46" t="s">
        <v>818</v>
      </c>
      <c r="D21" s="47"/>
      <c r="E21" s="19"/>
      <c r="F21" s="19"/>
      <c r="G21" s="19"/>
      <c r="H21" s="20"/>
    </row>
    <row r="22" spans="1:8">
      <c r="A22" s="827"/>
      <c r="B22" s="25" t="s">
        <v>98</v>
      </c>
      <c r="C22" s="622" t="s">
        <v>819</v>
      </c>
      <c r="D22" s="47"/>
      <c r="E22" s="19"/>
      <c r="F22" s="19"/>
      <c r="G22" s="19"/>
      <c r="H22" s="20"/>
    </row>
    <row r="23" spans="1:8">
      <c r="A23" s="827"/>
      <c r="B23" s="25" t="s">
        <v>73</v>
      </c>
      <c r="C23" s="25" t="s">
        <v>820</v>
      </c>
      <c r="D23" s="23"/>
      <c r="E23" s="19"/>
      <c r="F23" s="19"/>
      <c r="G23" s="19"/>
      <c r="H23" s="20"/>
    </row>
    <row r="24" spans="1:8">
      <c r="A24" s="827"/>
      <c r="B24" s="25" t="s">
        <v>452</v>
      </c>
      <c r="C24" s="25" t="s">
        <v>821</v>
      </c>
      <c r="D24" s="23"/>
      <c r="E24" s="19"/>
      <c r="F24" s="19"/>
      <c r="G24" s="19"/>
      <c r="H24" s="20"/>
    </row>
    <row r="25" spans="1:8">
      <c r="A25" s="827"/>
      <c r="B25" s="25" t="s">
        <v>445</v>
      </c>
      <c r="C25" s="25" t="s">
        <v>822</v>
      </c>
      <c r="D25" s="23"/>
      <c r="E25" s="19"/>
      <c r="F25" s="19"/>
      <c r="G25" s="19"/>
      <c r="H25" s="20"/>
    </row>
    <row r="26" spans="1:8">
      <c r="A26" s="827"/>
      <c r="B26" s="25" t="s">
        <v>167</v>
      </c>
      <c r="C26" s="25" t="s">
        <v>823</v>
      </c>
      <c r="D26" s="23"/>
      <c r="E26" s="19"/>
      <c r="F26" s="19"/>
      <c r="G26" s="19"/>
      <c r="H26" s="20"/>
    </row>
    <row r="27" spans="1:8" ht="16.5" thickBot="1">
      <c r="A27" s="828"/>
      <c r="B27" s="615" t="s">
        <v>447</v>
      </c>
      <c r="C27" s="615" t="s">
        <v>824</v>
      </c>
      <c r="D27" s="48"/>
      <c r="E27" s="37"/>
      <c r="F27" s="37"/>
      <c r="G27" s="37"/>
      <c r="H27" s="38"/>
    </row>
    <row r="28" spans="1:8" ht="5.25" customHeight="1" thickBot="1">
      <c r="A28" s="39"/>
      <c r="B28" s="40"/>
      <c r="H28" s="42"/>
    </row>
    <row r="29" spans="1:8" s="5" customFormat="1">
      <c r="A29" s="875" t="s">
        <v>160</v>
      </c>
      <c r="B29" s="241" t="s">
        <v>101</v>
      </c>
      <c r="C29" s="242" t="s">
        <v>48</v>
      </c>
      <c r="D29" s="243" t="s">
        <v>125</v>
      </c>
      <c r="E29" s="243" t="s">
        <v>526</v>
      </c>
      <c r="F29" s="243" t="s">
        <v>527</v>
      </c>
      <c r="G29" s="243" t="s">
        <v>528</v>
      </c>
      <c r="H29" s="244" t="s">
        <v>454</v>
      </c>
    </row>
    <row r="30" spans="1:8">
      <c r="A30" s="827"/>
      <c r="B30" s="16" t="s">
        <v>825</v>
      </c>
      <c r="C30" s="53">
        <f>39*D30</f>
        <v>936</v>
      </c>
      <c r="D30" s="17">
        <v>24</v>
      </c>
      <c r="E30" s="54"/>
      <c r="F30" s="54"/>
      <c r="G30" s="54"/>
      <c r="H30" s="55">
        <f t="shared" ref="H30:H35" si="0">D30/$D$36</f>
        <v>5.4421768707482991E-2</v>
      </c>
    </row>
    <row r="31" spans="1:8">
      <c r="A31" s="827"/>
      <c r="B31" s="16" t="s">
        <v>88</v>
      </c>
      <c r="C31" s="53">
        <f>59*D31</f>
        <v>5133</v>
      </c>
      <c r="D31" s="17">
        <v>87</v>
      </c>
      <c r="E31" s="54"/>
      <c r="F31" s="160"/>
      <c r="G31" s="54"/>
      <c r="H31" s="55">
        <f t="shared" si="0"/>
        <v>0.19727891156462585</v>
      </c>
    </row>
    <row r="32" spans="1:8">
      <c r="A32" s="827"/>
      <c r="B32" s="16" t="s">
        <v>826</v>
      </c>
      <c r="C32" s="53">
        <f>59*D32</f>
        <v>1416</v>
      </c>
      <c r="D32" s="17">
        <v>24</v>
      </c>
      <c r="E32" s="54"/>
      <c r="F32" s="160"/>
      <c r="G32" s="54"/>
      <c r="H32" s="55">
        <f t="shared" si="0"/>
        <v>5.4421768707482991E-2</v>
      </c>
    </row>
    <row r="33" spans="1:9">
      <c r="A33" s="827"/>
      <c r="B33" s="16" t="s">
        <v>827</v>
      </c>
      <c r="C33" s="53">
        <f>70*D33</f>
        <v>9870</v>
      </c>
      <c r="D33" s="17">
        <v>141</v>
      </c>
      <c r="E33" s="54"/>
      <c r="F33" s="160"/>
      <c r="G33" s="54"/>
      <c r="H33" s="55">
        <f t="shared" si="0"/>
        <v>0.31972789115646261</v>
      </c>
    </row>
    <row r="34" spans="1:9">
      <c r="A34" s="827"/>
      <c r="B34" s="16" t="s">
        <v>828</v>
      </c>
      <c r="C34" s="53">
        <f>74*D34</f>
        <v>3552</v>
      </c>
      <c r="D34" s="17">
        <v>48</v>
      </c>
      <c r="E34" s="54"/>
      <c r="F34" s="160"/>
      <c r="G34" s="54"/>
      <c r="H34" s="55">
        <f t="shared" si="0"/>
        <v>0.10884353741496598</v>
      </c>
    </row>
    <row r="35" spans="1:9">
      <c r="A35" s="827"/>
      <c r="B35" s="16" t="s">
        <v>193</v>
      </c>
      <c r="C35" s="53">
        <f>84*D35</f>
        <v>9828</v>
      </c>
      <c r="D35" s="17">
        <v>117</v>
      </c>
      <c r="E35" s="54"/>
      <c r="F35" s="160"/>
      <c r="G35" s="54"/>
      <c r="H35" s="55">
        <f t="shared" si="0"/>
        <v>0.26530612244897961</v>
      </c>
    </row>
    <row r="36" spans="1:9" ht="16.5" thickBot="1">
      <c r="A36" s="828"/>
      <c r="B36" s="56" t="s">
        <v>462</v>
      </c>
      <c r="C36" s="57">
        <f t="shared" ref="C36:H36" si="1">SUM(C30:C35)</f>
        <v>30735</v>
      </c>
      <c r="D36" s="58">
        <f t="shared" si="1"/>
        <v>441</v>
      </c>
      <c r="E36" s="59">
        <f t="shared" si="1"/>
        <v>0</v>
      </c>
      <c r="F36" s="59">
        <f t="shared" si="1"/>
        <v>0</v>
      </c>
      <c r="G36" s="59">
        <f t="shared" si="1"/>
        <v>0</v>
      </c>
      <c r="H36" s="60">
        <f t="shared" si="1"/>
        <v>1</v>
      </c>
    </row>
    <row r="37" spans="1:9" ht="4.5" customHeight="1" thickBot="1">
      <c r="A37" s="39"/>
      <c r="B37" s="40"/>
      <c r="H37" s="42"/>
    </row>
    <row r="38" spans="1:9" s="2" customFormat="1">
      <c r="A38" s="962" t="s">
        <v>393</v>
      </c>
      <c r="B38" s="241" t="s">
        <v>101</v>
      </c>
      <c r="C38" s="243" t="s">
        <v>839</v>
      </c>
      <c r="D38" s="243" t="s">
        <v>840</v>
      </c>
      <c r="E38" s="243" t="s">
        <v>43</v>
      </c>
      <c r="F38" s="243" t="s">
        <v>914</v>
      </c>
      <c r="G38" s="808" t="s">
        <v>46</v>
      </c>
      <c r="H38" s="246" t="s">
        <v>470</v>
      </c>
    </row>
    <row r="39" spans="1:9" ht="16.5" customHeight="1">
      <c r="A39" s="963"/>
      <c r="B39" s="16" t="s">
        <v>825</v>
      </c>
      <c r="C39" s="62"/>
      <c r="D39" s="63"/>
      <c r="E39" s="252"/>
      <c r="F39" s="63"/>
      <c r="G39" s="252"/>
      <c r="H39" s="31"/>
    </row>
    <row r="40" spans="1:9" ht="16.5" customHeight="1">
      <c r="A40" s="963"/>
      <c r="B40" s="16" t="s">
        <v>88</v>
      </c>
      <c r="C40" s="62"/>
      <c r="D40" s="63"/>
      <c r="E40" s="252">
        <f>(D40-C40)*25</f>
        <v>0</v>
      </c>
      <c r="F40" s="63"/>
      <c r="G40" s="252">
        <f>(F40-C40)*25</f>
        <v>0</v>
      </c>
      <c r="H40" s="31"/>
    </row>
    <row r="41" spans="1:9" ht="16.5" customHeight="1">
      <c r="A41" s="963"/>
      <c r="B41" s="16" t="s">
        <v>826</v>
      </c>
      <c r="C41" s="62"/>
      <c r="D41" s="63"/>
      <c r="E41" s="252">
        <f>(D41-C41)*25</f>
        <v>0</v>
      </c>
      <c r="F41" s="63"/>
      <c r="G41" s="252">
        <f>(F41-C41)*25</f>
        <v>0</v>
      </c>
      <c r="H41" s="31"/>
    </row>
    <row r="42" spans="1:9" ht="16.5" customHeight="1">
      <c r="A42" s="963"/>
      <c r="B42" s="16" t="s">
        <v>827</v>
      </c>
      <c r="C42" s="62"/>
      <c r="D42" s="63"/>
      <c r="E42" s="252">
        <f>(D42-C42)*34</f>
        <v>0</v>
      </c>
      <c r="F42" s="63"/>
      <c r="G42" s="252">
        <f>(F42-C42)*34</f>
        <v>0</v>
      </c>
      <c r="H42" s="31"/>
    </row>
    <row r="43" spans="1:9" ht="16.5" customHeight="1">
      <c r="A43" s="963"/>
      <c r="B43" s="16" t="s">
        <v>828</v>
      </c>
      <c r="C43" s="62"/>
      <c r="D43" s="63"/>
      <c r="E43" s="252">
        <f>(D43-C43)*34</f>
        <v>0</v>
      </c>
      <c r="F43" s="63"/>
      <c r="G43" s="252">
        <f>(F43-C43)*34</f>
        <v>0</v>
      </c>
      <c r="H43" s="31"/>
    </row>
    <row r="44" spans="1:9" ht="16.5" customHeight="1" thickBot="1">
      <c r="A44" s="964"/>
      <c r="B44" s="56" t="s">
        <v>193</v>
      </c>
      <c r="C44" s="795">
        <f>F44*70%</f>
        <v>14818999.999999998</v>
      </c>
      <c r="D44" s="65">
        <f>F44-2000000</f>
        <v>19170000</v>
      </c>
      <c r="E44" s="366">
        <f>(D44-C44)*39</f>
        <v>169689000.00000006</v>
      </c>
      <c r="F44" s="794">
        <v>21170000</v>
      </c>
      <c r="G44" s="366">
        <f>(F44-C44)*39</f>
        <v>247689000.00000006</v>
      </c>
      <c r="H44" s="66" t="s">
        <v>1195</v>
      </c>
    </row>
    <row r="45" spans="1:9" ht="5.25" customHeight="1" thickBot="1">
      <c r="A45" s="67"/>
      <c r="C45" s="68"/>
      <c r="D45" s="69"/>
      <c r="E45" s="69"/>
      <c r="F45" s="69"/>
      <c r="G45" s="69"/>
    </row>
    <row r="46" spans="1:9" ht="57.5" customHeight="1">
      <c r="A46" s="997" t="s">
        <v>257</v>
      </c>
      <c r="B46" s="243" t="s">
        <v>101</v>
      </c>
      <c r="C46" s="508" t="s">
        <v>1393</v>
      </c>
      <c r="D46" s="247" t="s">
        <v>247</v>
      </c>
      <c r="E46" s="247" t="s">
        <v>322</v>
      </c>
      <c r="F46" s="247" t="s">
        <v>222</v>
      </c>
      <c r="G46" s="248" t="s">
        <v>367</v>
      </c>
      <c r="H46" s="722" t="s">
        <v>1197</v>
      </c>
      <c r="I46" s="824" t="s">
        <v>1205</v>
      </c>
    </row>
    <row r="47" spans="1:9" ht="15" customHeight="1">
      <c r="A47" s="998"/>
      <c r="B47" s="16" t="s">
        <v>825</v>
      </c>
      <c r="C47" s="71" t="s">
        <v>436</v>
      </c>
      <c r="D47" s="62">
        <f t="shared" ref="D47:D52" si="2">E39</f>
        <v>0</v>
      </c>
      <c r="E47" s="253" t="e">
        <f t="shared" ref="E47:E52" si="3">D47-C47</f>
        <v>#VALUE!</v>
      </c>
      <c r="F47" s="62">
        <f t="shared" ref="F47:F52" si="4">G39</f>
        <v>0</v>
      </c>
      <c r="G47" s="253" t="e">
        <f t="shared" ref="G47:G52" si="5">F47-C47</f>
        <v>#VALUE!</v>
      </c>
      <c r="H47" s="731"/>
      <c r="I47" s="825"/>
    </row>
    <row r="48" spans="1:9">
      <c r="A48" s="877"/>
      <c r="B48" s="16" t="s">
        <v>88</v>
      </c>
      <c r="C48" s="71" t="s">
        <v>625</v>
      </c>
      <c r="D48" s="73">
        <f t="shared" si="2"/>
        <v>0</v>
      </c>
      <c r="E48" s="254" t="e">
        <f t="shared" si="3"/>
        <v>#VALUE!</v>
      </c>
      <c r="F48" s="73">
        <f t="shared" si="4"/>
        <v>0</v>
      </c>
      <c r="G48" s="254" t="e">
        <f t="shared" si="5"/>
        <v>#VALUE!</v>
      </c>
      <c r="H48" s="731"/>
      <c r="I48" s="825"/>
    </row>
    <row r="49" spans="1:9">
      <c r="A49" s="877"/>
      <c r="B49" s="16" t="s">
        <v>733</v>
      </c>
      <c r="C49" s="71" t="s">
        <v>1196</v>
      </c>
      <c r="D49" s="73">
        <f t="shared" si="2"/>
        <v>0</v>
      </c>
      <c r="E49" s="254" t="e">
        <f t="shared" si="3"/>
        <v>#VALUE!</v>
      </c>
      <c r="F49" s="73">
        <f t="shared" si="4"/>
        <v>0</v>
      </c>
      <c r="G49" s="254" t="e">
        <f t="shared" si="5"/>
        <v>#VALUE!</v>
      </c>
      <c r="H49" s="731"/>
      <c r="I49" s="825"/>
    </row>
    <row r="50" spans="1:9">
      <c r="A50" s="877"/>
      <c r="B50" s="16" t="s">
        <v>827</v>
      </c>
      <c r="C50" s="71" t="s">
        <v>625</v>
      </c>
      <c r="D50" s="73">
        <f t="shared" si="2"/>
        <v>0</v>
      </c>
      <c r="E50" s="254" t="e">
        <f t="shared" si="3"/>
        <v>#VALUE!</v>
      </c>
      <c r="F50" s="73">
        <f t="shared" si="4"/>
        <v>0</v>
      </c>
      <c r="G50" s="254" t="e">
        <f t="shared" si="5"/>
        <v>#VALUE!</v>
      </c>
      <c r="H50" s="731"/>
      <c r="I50" s="825"/>
    </row>
    <row r="51" spans="1:9">
      <c r="A51" s="877"/>
      <c r="B51" s="16" t="s">
        <v>828</v>
      </c>
      <c r="C51" s="71" t="s">
        <v>625</v>
      </c>
      <c r="D51" s="73">
        <f t="shared" si="2"/>
        <v>0</v>
      </c>
      <c r="E51" s="254" t="e">
        <f t="shared" si="3"/>
        <v>#VALUE!</v>
      </c>
      <c r="F51" s="73">
        <f t="shared" si="4"/>
        <v>0</v>
      </c>
      <c r="G51" s="254" t="e">
        <f t="shared" si="5"/>
        <v>#VALUE!</v>
      </c>
      <c r="H51" s="731"/>
      <c r="I51" s="825"/>
    </row>
    <row r="52" spans="1:9" ht="17.5" thickBot="1">
      <c r="A52" s="999"/>
      <c r="B52" s="56" t="s">
        <v>193</v>
      </c>
      <c r="C52" s="74">
        <v>310000000</v>
      </c>
      <c r="D52" s="623">
        <f t="shared" si="2"/>
        <v>169689000.00000006</v>
      </c>
      <c r="E52" s="624">
        <f t="shared" si="3"/>
        <v>-140310999.99999994</v>
      </c>
      <c r="F52" s="623">
        <f t="shared" si="4"/>
        <v>247689000.00000006</v>
      </c>
      <c r="G52" s="624">
        <f t="shared" si="5"/>
        <v>-62310999.99999994</v>
      </c>
      <c r="H52" s="732">
        <f>(C52+(C44*34))/34</f>
        <v>23936647.05882353</v>
      </c>
      <c r="I52" s="752">
        <f>H52/F44</f>
        <v>1.1306871544082915</v>
      </c>
    </row>
    <row r="53" spans="1:9" ht="5" customHeight="1" thickBot="1"/>
    <row r="54" spans="1:9">
      <c r="A54" s="833" t="s">
        <v>598</v>
      </c>
      <c r="B54" s="243" t="s">
        <v>599</v>
      </c>
      <c r="C54" s="242" t="s">
        <v>660</v>
      </c>
      <c r="D54" s="965" t="s">
        <v>600</v>
      </c>
      <c r="E54" s="965"/>
      <c r="F54" s="965"/>
      <c r="G54" s="965"/>
      <c r="H54" s="966"/>
    </row>
    <row r="55" spans="1:9" ht="17">
      <c r="A55" s="834"/>
      <c r="B55" s="165" t="s">
        <v>601</v>
      </c>
      <c r="C55" s="625">
        <v>1350</v>
      </c>
      <c r="D55" s="617"/>
      <c r="E55" s="54"/>
      <c r="F55" s="54"/>
      <c r="G55" s="54"/>
      <c r="H55" s="31"/>
    </row>
    <row r="56" spans="1:9" ht="17">
      <c r="A56" s="834"/>
      <c r="B56" s="165" t="s">
        <v>602</v>
      </c>
      <c r="C56" s="625">
        <v>1600</v>
      </c>
      <c r="D56" s="17"/>
      <c r="E56" s="54"/>
      <c r="F56" s="54"/>
      <c r="G56" s="54"/>
      <c r="H56" s="31"/>
    </row>
    <row r="57" spans="1:9">
      <c r="A57" s="834"/>
      <c r="B57" s="165" t="s">
        <v>603</v>
      </c>
      <c r="C57" s="626">
        <v>1900</v>
      </c>
      <c r="D57" s="17"/>
      <c r="E57" s="54"/>
      <c r="F57" s="54"/>
      <c r="G57" s="54"/>
      <c r="H57" s="31"/>
    </row>
    <row r="58" spans="1:9">
      <c r="A58" s="834"/>
      <c r="B58" s="165" t="s">
        <v>604</v>
      </c>
      <c r="C58" s="626">
        <v>2364</v>
      </c>
      <c r="D58" s="17"/>
      <c r="E58" s="54"/>
      <c r="F58" s="54"/>
      <c r="G58" s="54"/>
      <c r="H58" s="31"/>
    </row>
    <row r="59" spans="1:9">
      <c r="A59" s="834"/>
      <c r="B59" s="165" t="s">
        <v>605</v>
      </c>
      <c r="C59" s="626">
        <f>H52/10000</f>
        <v>2393.6647058823528</v>
      </c>
      <c r="D59" s="17"/>
      <c r="E59" s="54"/>
      <c r="F59" s="54"/>
      <c r="G59" s="54"/>
      <c r="H59" s="31"/>
    </row>
    <row r="60" spans="1:9">
      <c r="A60" s="834"/>
      <c r="B60" s="165" t="s">
        <v>606</v>
      </c>
      <c r="C60" s="626"/>
      <c r="D60" s="17"/>
      <c r="E60" s="54"/>
      <c r="F60" s="54"/>
      <c r="G60" s="54"/>
      <c r="H60" s="31"/>
    </row>
    <row r="61" spans="1:9">
      <c r="A61" s="834"/>
      <c r="B61" s="165" t="s">
        <v>607</v>
      </c>
      <c r="C61" s="626"/>
      <c r="D61" s="17"/>
      <c r="E61" s="54"/>
      <c r="F61" s="54"/>
      <c r="G61" s="54"/>
      <c r="H61" s="31"/>
    </row>
    <row r="62" spans="1:9">
      <c r="A62" s="834"/>
      <c r="B62" s="165" t="s">
        <v>608</v>
      </c>
      <c r="C62" s="626"/>
      <c r="D62" s="17"/>
      <c r="E62" s="54"/>
      <c r="F62" s="54"/>
      <c r="G62" s="54"/>
      <c r="H62" s="31"/>
    </row>
    <row r="63" spans="1:9">
      <c r="A63" s="834"/>
      <c r="B63" s="165" t="s">
        <v>1201</v>
      </c>
      <c r="C63" s="626"/>
      <c r="D63" s="17"/>
      <c r="E63" s="54"/>
      <c r="F63" s="54"/>
      <c r="G63" s="54"/>
      <c r="H63" s="31"/>
    </row>
    <row r="64" spans="1:9">
      <c r="A64" s="834"/>
      <c r="B64" s="165" t="s">
        <v>1202</v>
      </c>
      <c r="C64" s="626"/>
      <c r="D64" s="17"/>
      <c r="E64" s="54"/>
      <c r="F64" s="54"/>
      <c r="G64" s="54"/>
      <c r="H64" s="31"/>
    </row>
    <row r="65" spans="1:8">
      <c r="A65" s="834"/>
      <c r="B65" s="165" t="s">
        <v>1203</v>
      </c>
      <c r="C65" s="626"/>
      <c r="D65" s="17"/>
      <c r="E65" s="54"/>
      <c r="F65" s="54"/>
      <c r="G65" s="54"/>
      <c r="H65" s="31"/>
    </row>
    <row r="66" spans="1:8">
      <c r="A66" s="834"/>
      <c r="B66" s="165" t="s">
        <v>1204</v>
      </c>
      <c r="C66" s="626"/>
      <c r="D66" s="17"/>
      <c r="E66" s="54"/>
      <c r="F66" s="54"/>
      <c r="G66" s="54"/>
      <c r="H66" s="31"/>
    </row>
    <row r="67" spans="1:8" ht="17.5" thickBot="1">
      <c r="A67" s="836"/>
      <c r="B67" s="490" t="s">
        <v>832</v>
      </c>
      <c r="C67" s="628"/>
      <c r="D67" s="618"/>
      <c r="E67" s="619"/>
      <c r="F67" s="619"/>
      <c r="G67" s="619"/>
      <c r="H67" s="66"/>
    </row>
    <row r="68" spans="1:8">
      <c r="A68" s="826" t="s">
        <v>650</v>
      </c>
      <c r="B68" s="582" t="s">
        <v>833</v>
      </c>
      <c r="C68" s="565"/>
      <c r="D68" s="566"/>
      <c r="E68" s="559"/>
      <c r="F68" s="559"/>
      <c r="G68" s="559"/>
      <c r="H68" s="567"/>
    </row>
    <row r="69" spans="1:8">
      <c r="A69" s="827"/>
      <c r="B69" s="206" t="s">
        <v>838</v>
      </c>
      <c r="C69" s="78"/>
      <c r="D69" s="79"/>
      <c r="E69" s="76"/>
      <c r="F69" s="76"/>
      <c r="G69" s="76"/>
      <c r="H69" s="114"/>
    </row>
    <row r="70" spans="1:8">
      <c r="A70" s="827"/>
      <c r="B70" s="206" t="s">
        <v>834</v>
      </c>
      <c r="C70" s="78"/>
      <c r="D70" s="79"/>
      <c r="E70" s="76"/>
      <c r="F70" s="76"/>
      <c r="G70" s="76"/>
      <c r="H70" s="114"/>
    </row>
    <row r="71" spans="1:8">
      <c r="A71" s="827"/>
      <c r="B71" s="206" t="s">
        <v>841</v>
      </c>
      <c r="C71" s="78"/>
      <c r="D71" s="79"/>
      <c r="E71" s="76"/>
      <c r="F71" s="76"/>
      <c r="G71" s="76"/>
      <c r="H71" s="114"/>
    </row>
    <row r="72" spans="1:8">
      <c r="A72" s="827"/>
      <c r="B72" s="206" t="s">
        <v>837</v>
      </c>
      <c r="C72" s="78"/>
      <c r="D72" s="79"/>
      <c r="E72" s="76"/>
      <c r="F72" s="76"/>
      <c r="G72" s="76"/>
      <c r="H72" s="114"/>
    </row>
    <row r="73" spans="1:8">
      <c r="A73" s="827"/>
      <c r="B73" s="206" t="s">
        <v>835</v>
      </c>
      <c r="C73" s="78"/>
      <c r="D73" s="79"/>
      <c r="E73" s="76"/>
      <c r="F73" s="76"/>
      <c r="G73" s="76"/>
      <c r="H73" s="114"/>
    </row>
    <row r="74" spans="1:8" ht="16.5" thickBot="1">
      <c r="A74" s="828"/>
      <c r="B74" s="568" t="s">
        <v>836</v>
      </c>
      <c r="C74" s="569"/>
      <c r="D74" s="570"/>
      <c r="E74" s="571"/>
      <c r="F74" s="571"/>
      <c r="G74" s="571"/>
      <c r="H74" s="572"/>
    </row>
  </sheetData>
  <mergeCells count="15">
    <mergeCell ref="A68:A74"/>
    <mergeCell ref="A20:A27"/>
    <mergeCell ref="A29:A36"/>
    <mergeCell ref="A38:A44"/>
    <mergeCell ref="A46:A52"/>
    <mergeCell ref="A54:A67"/>
    <mergeCell ref="I46:I51"/>
    <mergeCell ref="D54:H54"/>
    <mergeCell ref="A1:H1"/>
    <mergeCell ref="A2:A18"/>
    <mergeCell ref="C4:D4"/>
    <mergeCell ref="D5:E5"/>
    <mergeCell ref="G5:H5"/>
    <mergeCell ref="G6:H6"/>
    <mergeCell ref="F8:H8"/>
  </mergeCells>
  <phoneticPr fontId="16" type="noConversion"/>
  <pageMargins left="0.69972223043441772" right="0.69972223043441772" top="0.75" bottom="0.75" header="0.30000001192092896" footer="0.30000001192092896"/>
  <pageSetup paperSize="9" scale="86" orientation="portrait" horizontalDpi="4294967293" verticalDpi="4294967293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>
    <tabColor rgb="FFFF0000"/>
  </sheetPr>
  <dimension ref="A1:K102"/>
  <sheetViews>
    <sheetView showGridLines="0" topLeftCell="A79" zoomScale="85" zoomScaleNormal="85" zoomScaleSheetLayoutView="100" workbookViewId="0">
      <selection activeCell="C77" sqref="C77"/>
    </sheetView>
  </sheetViews>
  <sheetFormatPr defaultColWidth="13.4140625" defaultRowHeight="16"/>
  <cols>
    <col min="1" max="1" width="9.58203125" style="76" customWidth="1"/>
    <col min="2" max="2" width="18.5" style="77" bestFit="1" customWidth="1"/>
    <col min="3" max="3" width="24.5" style="78" customWidth="1"/>
    <col min="4" max="4" width="22.08203125" style="79" bestFit="1" customWidth="1"/>
    <col min="5" max="5" width="13.9140625" style="76" bestFit="1" customWidth="1"/>
    <col min="6" max="6" width="15.75" style="76" bestFit="1" customWidth="1"/>
    <col min="7" max="7" width="14" style="76" bestFit="1" customWidth="1"/>
    <col min="8" max="8" width="16.9140625" style="76" bestFit="1" customWidth="1"/>
    <col min="9" max="9" width="26.33203125" style="76" bestFit="1" customWidth="1"/>
    <col min="10" max="12" width="13.4140625" style="76" bestFit="1" customWidth="1"/>
    <col min="13" max="16384" width="13.4140625" style="76"/>
  </cols>
  <sheetData>
    <row r="1" spans="1:8" ht="31.5" customHeight="1">
      <c r="A1" s="927" t="s">
        <v>170</v>
      </c>
      <c r="B1" s="927"/>
      <c r="C1" s="927"/>
      <c r="D1" s="927"/>
      <c r="E1" s="927"/>
      <c r="F1" s="927"/>
      <c r="G1" s="927"/>
      <c r="H1" s="927"/>
    </row>
    <row r="2" spans="1:8" ht="15.5" customHeight="1">
      <c r="A2" s="1009" t="s">
        <v>112</v>
      </c>
      <c r="B2" s="6" t="s">
        <v>420</v>
      </c>
      <c r="C2" s="852" t="s">
        <v>1428</v>
      </c>
      <c r="D2" s="852"/>
      <c r="E2" s="852"/>
      <c r="F2" s="852"/>
      <c r="G2" s="852"/>
      <c r="H2" s="852"/>
    </row>
    <row r="3" spans="1:8" ht="15" customHeight="1">
      <c r="A3" s="1012"/>
      <c r="B3" s="11" t="s">
        <v>471</v>
      </c>
      <c r="C3" s="851" t="s">
        <v>1427</v>
      </c>
      <c r="D3" s="851"/>
      <c r="E3" s="851"/>
      <c r="F3" s="851"/>
      <c r="G3" s="851"/>
      <c r="H3" s="851"/>
    </row>
    <row r="4" spans="1:8">
      <c r="A4" s="1012"/>
      <c r="B4" s="11" t="s">
        <v>407</v>
      </c>
      <c r="C4" s="81" t="s">
        <v>404</v>
      </c>
      <c r="D4" s="82"/>
      <c r="E4" s="83"/>
      <c r="F4" s="83"/>
      <c r="G4" s="83"/>
      <c r="H4" s="84"/>
    </row>
    <row r="5" spans="1:8">
      <c r="A5" s="1009"/>
      <c r="B5" s="11" t="s">
        <v>58</v>
      </c>
      <c r="C5" s="845" t="s">
        <v>8</v>
      </c>
      <c r="D5" s="846"/>
      <c r="E5" s="85"/>
      <c r="F5" s="85"/>
      <c r="G5" s="85"/>
      <c r="H5" s="86"/>
    </row>
    <row r="6" spans="1:8">
      <c r="A6" s="1012"/>
      <c r="B6" s="11" t="s">
        <v>53</v>
      </c>
      <c r="C6" s="845">
        <v>130369</v>
      </c>
      <c r="D6" s="847"/>
      <c r="E6" s="85"/>
      <c r="F6" s="85"/>
      <c r="G6" s="85"/>
      <c r="H6" s="86"/>
    </row>
    <row r="7" spans="1:8">
      <c r="A7" s="1018"/>
      <c r="B7" s="16" t="s">
        <v>99</v>
      </c>
      <c r="C7" s="87">
        <v>163896</v>
      </c>
      <c r="D7" s="840" t="s">
        <v>231</v>
      </c>
      <c r="E7" s="841"/>
      <c r="F7" s="470">
        <f>C7*0.3025/C9</f>
        <v>27.543633333333332</v>
      </c>
      <c r="G7" s="842" t="s">
        <v>524</v>
      </c>
      <c r="H7" s="843"/>
    </row>
    <row r="8" spans="1:8">
      <c r="A8" s="1018"/>
      <c r="B8" s="16" t="s">
        <v>425</v>
      </c>
      <c r="C8" s="87">
        <v>26</v>
      </c>
      <c r="D8" s="88"/>
      <c r="E8" s="83"/>
      <c r="F8" s="83"/>
      <c r="G8" s="83"/>
      <c r="H8" s="84"/>
    </row>
    <row r="9" spans="1:8">
      <c r="A9" s="1018"/>
      <c r="B9" s="16" t="s">
        <v>335</v>
      </c>
      <c r="C9" s="87">
        <v>1800</v>
      </c>
      <c r="D9" s="89" t="s">
        <v>39</v>
      </c>
      <c r="E9" s="90">
        <f>C9/C11</f>
        <v>0.49382716049382713</v>
      </c>
      <c r="F9" s="88"/>
      <c r="G9" s="83"/>
      <c r="H9" s="84"/>
    </row>
    <row r="10" spans="1:8">
      <c r="A10" s="1018"/>
      <c r="B10" s="16" t="s">
        <v>54</v>
      </c>
      <c r="C10" s="471">
        <f>C11-C9</f>
        <v>1845</v>
      </c>
      <c r="D10" s="89" t="s">
        <v>145</v>
      </c>
      <c r="E10" s="472">
        <f>C10/C11</f>
        <v>0.50617283950617287</v>
      </c>
      <c r="F10" s="848" t="s">
        <v>29</v>
      </c>
      <c r="G10" s="849"/>
      <c r="H10" s="850"/>
    </row>
    <row r="11" spans="1:8">
      <c r="A11" s="1018"/>
      <c r="B11" s="16" t="s">
        <v>150</v>
      </c>
      <c r="C11" s="87">
        <v>3645</v>
      </c>
      <c r="D11" s="177"/>
      <c r="E11" s="83"/>
      <c r="F11" s="83"/>
      <c r="G11" s="83"/>
      <c r="H11" s="84"/>
    </row>
    <row r="12" spans="1:8">
      <c r="A12" s="1018"/>
      <c r="B12" s="16" t="s">
        <v>427</v>
      </c>
      <c r="C12" s="92">
        <v>0.24350000000000002</v>
      </c>
      <c r="D12" s="93" t="s">
        <v>84</v>
      </c>
      <c r="E12" s="94">
        <f>C7*C12</f>
        <v>39908.676000000007</v>
      </c>
      <c r="F12" s="95" t="s">
        <v>41</v>
      </c>
      <c r="G12" s="96">
        <f>E13/E12</f>
        <v>14.898151950718683</v>
      </c>
      <c r="H12" s="97"/>
    </row>
    <row r="13" spans="1:8">
      <c r="A13" s="1018"/>
      <c r="B13" s="16" t="s">
        <v>466</v>
      </c>
      <c r="C13" s="92">
        <v>3.6276999999999999</v>
      </c>
      <c r="D13" s="93" t="s">
        <v>91</v>
      </c>
      <c r="E13" s="98">
        <f>C7*C13</f>
        <v>594565.51919999998</v>
      </c>
      <c r="F13" s="95" t="s">
        <v>209</v>
      </c>
      <c r="G13" s="473">
        <f>E13*76%</f>
        <v>451869.79459199996</v>
      </c>
      <c r="H13" s="99"/>
    </row>
    <row r="14" spans="1:8">
      <c r="A14" s="1018"/>
      <c r="B14" s="16" t="s">
        <v>208</v>
      </c>
      <c r="C14" s="100" t="s">
        <v>246</v>
      </c>
      <c r="D14" s="88"/>
      <c r="E14" s="83"/>
      <c r="F14" s="840" t="s">
        <v>234</v>
      </c>
      <c r="G14" s="841"/>
      <c r="H14" s="367">
        <f>G13/C47</f>
        <v>1.4569912026284988</v>
      </c>
    </row>
    <row r="15" spans="1:8" ht="15" customHeight="1">
      <c r="A15" s="1018"/>
      <c r="B15" s="16" t="s">
        <v>441</v>
      </c>
      <c r="C15" s="101" t="s">
        <v>305</v>
      </c>
      <c r="D15" s="102"/>
      <c r="E15" s="103"/>
      <c r="F15" s="848" t="s">
        <v>392</v>
      </c>
      <c r="G15" s="849"/>
      <c r="H15" s="850"/>
    </row>
    <row r="16" spans="1:8">
      <c r="A16" s="1018"/>
      <c r="B16" s="32" t="s">
        <v>87</v>
      </c>
      <c r="C16" s="100" t="s">
        <v>418</v>
      </c>
      <c r="D16" s="104"/>
      <c r="E16" s="83"/>
      <c r="F16" s="83"/>
      <c r="G16" s="83"/>
      <c r="H16" s="84"/>
    </row>
    <row r="17" spans="1:8" ht="15" customHeight="1">
      <c r="A17" s="1009"/>
      <c r="B17" s="844" t="s">
        <v>470</v>
      </c>
      <c r="C17" s="105"/>
      <c r="D17" s="105" t="s">
        <v>505</v>
      </c>
      <c r="E17" s="106"/>
      <c r="F17" s="106"/>
      <c r="G17" s="106"/>
      <c r="H17" s="107"/>
    </row>
    <row r="18" spans="1:8">
      <c r="A18" s="1019"/>
      <c r="B18" s="844"/>
      <c r="C18" s="108"/>
      <c r="D18" s="109"/>
      <c r="E18" s="110"/>
      <c r="F18" s="110"/>
      <c r="G18" s="110"/>
      <c r="H18" s="111"/>
    </row>
    <row r="19" spans="1:8" ht="5.25" customHeight="1">
      <c r="A19" s="112"/>
      <c r="B19" s="40"/>
      <c r="C19" s="113"/>
      <c r="D19" s="113"/>
      <c r="H19" s="114"/>
    </row>
    <row r="20" spans="1:8">
      <c r="A20" s="1009" t="s">
        <v>49</v>
      </c>
      <c r="B20" s="43" t="s">
        <v>174</v>
      </c>
      <c r="C20" s="115" t="s">
        <v>300</v>
      </c>
      <c r="D20" s="116"/>
      <c r="E20" s="117"/>
      <c r="F20" s="117"/>
      <c r="G20" s="117"/>
      <c r="H20" s="118"/>
    </row>
    <row r="21" spans="1:8">
      <c r="A21" s="1010"/>
      <c r="B21" s="25" t="s">
        <v>65</v>
      </c>
      <c r="C21" s="119" t="s">
        <v>291</v>
      </c>
      <c r="D21" s="120"/>
      <c r="E21" s="83"/>
      <c r="F21" s="83"/>
      <c r="G21" s="83"/>
      <c r="H21" s="84"/>
    </row>
    <row r="22" spans="1:8">
      <c r="A22" s="1009"/>
      <c r="B22" s="25" t="s">
        <v>95</v>
      </c>
      <c r="C22" s="93" t="s">
        <v>592</v>
      </c>
      <c r="D22" s="120"/>
      <c r="E22" s="83"/>
      <c r="F22" s="83"/>
      <c r="G22" s="83"/>
      <c r="H22" s="84"/>
    </row>
    <row r="23" spans="1:8">
      <c r="A23" s="1010"/>
      <c r="B23" s="25" t="s">
        <v>59</v>
      </c>
      <c r="C23" s="93" t="s">
        <v>766</v>
      </c>
      <c r="D23" s="120"/>
      <c r="E23" s="83"/>
      <c r="F23" s="83"/>
      <c r="G23" s="83"/>
      <c r="H23" s="84"/>
    </row>
    <row r="24" spans="1:8">
      <c r="A24" s="1009"/>
      <c r="B24" s="25" t="s">
        <v>452</v>
      </c>
      <c r="C24" s="93" t="s">
        <v>767</v>
      </c>
      <c r="D24" s="120"/>
      <c r="E24" s="83"/>
      <c r="F24" s="83"/>
      <c r="G24" s="83"/>
      <c r="H24" s="84"/>
    </row>
    <row r="25" spans="1:8">
      <c r="A25" s="1010"/>
      <c r="B25" s="25" t="s">
        <v>445</v>
      </c>
      <c r="C25" s="93" t="s">
        <v>768</v>
      </c>
      <c r="D25" s="91"/>
      <c r="E25" s="83"/>
      <c r="F25" s="83"/>
      <c r="G25" s="83"/>
      <c r="H25" s="84"/>
    </row>
    <row r="26" spans="1:8">
      <c r="A26" s="1010"/>
      <c r="B26" s="25" t="s">
        <v>769</v>
      </c>
      <c r="C26" s="93" t="s">
        <v>770</v>
      </c>
      <c r="D26" s="91"/>
      <c r="E26" s="83"/>
      <c r="F26" s="83"/>
      <c r="G26" s="83"/>
      <c r="H26" s="84"/>
    </row>
    <row r="27" spans="1:8">
      <c r="A27" s="1010"/>
      <c r="B27" s="25" t="s">
        <v>771</v>
      </c>
      <c r="C27" s="93" t="s">
        <v>772</v>
      </c>
      <c r="D27" s="91"/>
      <c r="E27" s="83"/>
      <c r="F27" s="83"/>
      <c r="G27" s="83"/>
      <c r="H27" s="84"/>
    </row>
    <row r="28" spans="1:8">
      <c r="A28" s="1011"/>
      <c r="B28" s="35"/>
      <c r="C28" s="122"/>
      <c r="D28" s="123"/>
      <c r="E28" s="110"/>
      <c r="F28" s="110"/>
      <c r="G28" s="110"/>
      <c r="H28" s="111"/>
    </row>
    <row r="29" spans="1:8" ht="5.25" customHeight="1" thickBot="1">
      <c r="A29" s="112"/>
      <c r="B29" s="40"/>
      <c r="C29" s="3"/>
      <c r="H29" s="114"/>
    </row>
    <row r="30" spans="1:8" s="505" customFormat="1" ht="13.5" customHeight="1">
      <c r="A30" s="1009" t="s">
        <v>160</v>
      </c>
      <c r="B30" s="500" t="s">
        <v>101</v>
      </c>
      <c r="C30" s="501" t="s">
        <v>48</v>
      </c>
      <c r="D30" s="502" t="s">
        <v>125</v>
      </c>
      <c r="E30" s="502" t="s">
        <v>434</v>
      </c>
      <c r="F30" s="502" t="s">
        <v>414</v>
      </c>
      <c r="G30" s="503" t="s">
        <v>454</v>
      </c>
      <c r="H30" s="504" t="s">
        <v>470</v>
      </c>
    </row>
    <row r="31" spans="1:8">
      <c r="A31" s="1010"/>
      <c r="B31" s="129" t="s">
        <v>297</v>
      </c>
      <c r="C31" s="130">
        <f>39*D31</f>
        <v>8736</v>
      </c>
      <c r="D31" s="87">
        <v>224</v>
      </c>
      <c r="E31" s="87" t="s">
        <v>436</v>
      </c>
      <c r="F31" s="87" t="s">
        <v>436</v>
      </c>
      <c r="G31" s="131">
        <f t="shared" ref="G31:G46" si="0">D31/$D$47</f>
        <v>6.1454046639231825E-2</v>
      </c>
      <c r="H31" s="132"/>
    </row>
    <row r="32" spans="1:8" ht="16.5" thickBot="1">
      <c r="A32" s="1012"/>
      <c r="B32" s="129" t="s">
        <v>295</v>
      </c>
      <c r="C32" s="130">
        <f>47*D32</f>
        <v>10528</v>
      </c>
      <c r="D32" s="87">
        <v>224</v>
      </c>
      <c r="E32" s="87" t="s">
        <v>436</v>
      </c>
      <c r="F32" s="87" t="s">
        <v>436</v>
      </c>
      <c r="G32" s="131">
        <f t="shared" si="0"/>
        <v>6.1454046639231825E-2</v>
      </c>
      <c r="H32" s="132"/>
    </row>
    <row r="33" spans="1:8">
      <c r="A33" s="1009"/>
      <c r="B33" s="129" t="s">
        <v>312</v>
      </c>
      <c r="C33" s="130">
        <f>59*D33</f>
        <v>14160</v>
      </c>
      <c r="D33" s="87">
        <v>240</v>
      </c>
      <c r="E33" s="87"/>
      <c r="F33" s="87"/>
      <c r="G33" s="131">
        <f t="shared" si="0"/>
        <v>6.584362139917696E-2</v>
      </c>
      <c r="H33" s="132"/>
    </row>
    <row r="34" spans="1:8">
      <c r="A34" s="1010"/>
      <c r="B34" s="16" t="s">
        <v>175</v>
      </c>
      <c r="C34" s="130">
        <f>52*D34</f>
        <v>2496</v>
      </c>
      <c r="D34" s="87">
        <v>48</v>
      </c>
      <c r="E34" s="87"/>
      <c r="F34" s="87"/>
      <c r="G34" s="131">
        <f t="shared" si="0"/>
        <v>1.3168724279835391E-2</v>
      </c>
      <c r="H34" s="132"/>
    </row>
    <row r="35" spans="1:8" ht="16.5" thickBot="1">
      <c r="A35" s="1010"/>
      <c r="B35" s="129" t="s">
        <v>131</v>
      </c>
      <c r="C35" s="130">
        <f>59*D35</f>
        <v>13924</v>
      </c>
      <c r="D35" s="87">
        <v>236</v>
      </c>
      <c r="E35" s="87"/>
      <c r="F35" s="87"/>
      <c r="G35" s="131">
        <f t="shared" si="0"/>
        <v>6.4746227709190668E-2</v>
      </c>
      <c r="H35" s="132"/>
    </row>
    <row r="36" spans="1:8">
      <c r="A36" s="1009"/>
      <c r="B36" s="129" t="s">
        <v>183</v>
      </c>
      <c r="C36" s="130">
        <f>59*D36</f>
        <v>10797</v>
      </c>
      <c r="D36" s="87">
        <v>183</v>
      </c>
      <c r="E36" s="87"/>
      <c r="F36" s="87"/>
      <c r="G36" s="131">
        <f t="shared" si="0"/>
        <v>5.0205761316872426E-2</v>
      </c>
      <c r="H36" s="132"/>
    </row>
    <row r="37" spans="1:8" ht="16.5" thickBot="1">
      <c r="A37" s="1012"/>
      <c r="B37" s="129" t="s">
        <v>194</v>
      </c>
      <c r="C37" s="130">
        <f>67*D37</f>
        <v>5829</v>
      </c>
      <c r="D37" s="133">
        <v>87</v>
      </c>
      <c r="E37" s="87"/>
      <c r="F37" s="133"/>
      <c r="G37" s="131">
        <f t="shared" si="0"/>
        <v>2.3868312757201648E-2</v>
      </c>
      <c r="H37" s="134"/>
    </row>
    <row r="38" spans="1:8">
      <c r="A38" s="1009"/>
      <c r="B38" s="129" t="s">
        <v>190</v>
      </c>
      <c r="C38" s="130">
        <f>67*D38</f>
        <v>1943</v>
      </c>
      <c r="D38" s="133">
        <v>29</v>
      </c>
      <c r="E38" s="87"/>
      <c r="F38" s="133"/>
      <c r="G38" s="131">
        <f t="shared" si="0"/>
        <v>7.9561042524005487E-3</v>
      </c>
      <c r="H38" s="134"/>
    </row>
    <row r="39" spans="1:8">
      <c r="A39" s="1012"/>
      <c r="B39" s="129" t="s">
        <v>210</v>
      </c>
      <c r="C39" s="130">
        <f>84*D39</f>
        <v>98784</v>
      </c>
      <c r="D39" s="133">
        <v>1176</v>
      </c>
      <c r="E39" s="87"/>
      <c r="F39" s="133"/>
      <c r="G39" s="131">
        <f t="shared" si="0"/>
        <v>0.32263374485596708</v>
      </c>
      <c r="H39" s="134"/>
    </row>
    <row r="40" spans="1:8" ht="16.5" thickBot="1">
      <c r="A40" s="1012"/>
      <c r="B40" s="129" t="s">
        <v>123</v>
      </c>
      <c r="C40" s="130">
        <f>84*D40</f>
        <v>12096</v>
      </c>
      <c r="D40" s="133">
        <v>144</v>
      </c>
      <c r="E40" s="87"/>
      <c r="F40" s="133"/>
      <c r="G40" s="131">
        <f t="shared" si="0"/>
        <v>3.9506172839506172E-2</v>
      </c>
      <c r="H40" s="134"/>
    </row>
    <row r="41" spans="1:8">
      <c r="A41" s="1009"/>
      <c r="B41" s="129" t="s">
        <v>154</v>
      </c>
      <c r="C41" s="130">
        <f>101*D41</f>
        <v>24644</v>
      </c>
      <c r="D41" s="133">
        <v>244</v>
      </c>
      <c r="E41" s="87"/>
      <c r="F41" s="133"/>
      <c r="G41" s="131">
        <f t="shared" si="0"/>
        <v>6.6941015089163239E-2</v>
      </c>
      <c r="H41" s="134"/>
    </row>
    <row r="42" spans="1:8">
      <c r="A42" s="1012"/>
      <c r="B42" s="129" t="s">
        <v>189</v>
      </c>
      <c r="C42" s="130">
        <f>101*D42</f>
        <v>23230</v>
      </c>
      <c r="D42" s="133">
        <v>230</v>
      </c>
      <c r="E42" s="87"/>
      <c r="F42" s="133"/>
      <c r="G42" s="131">
        <f t="shared" si="0"/>
        <v>6.3100137174211243E-2</v>
      </c>
      <c r="H42" s="134"/>
    </row>
    <row r="43" spans="1:8" ht="16.5" thickBot="1">
      <c r="A43" s="1012"/>
      <c r="B43" s="129" t="s">
        <v>122</v>
      </c>
      <c r="C43" s="130">
        <f>121*D43</f>
        <v>24321</v>
      </c>
      <c r="D43" s="133">
        <v>201</v>
      </c>
      <c r="E43" s="87"/>
      <c r="F43" s="133"/>
      <c r="G43" s="131">
        <f t="shared" si="0"/>
        <v>5.51440329218107E-2</v>
      </c>
      <c r="H43" s="134"/>
    </row>
    <row r="44" spans="1:8">
      <c r="A44" s="1009"/>
      <c r="B44" s="129" t="s">
        <v>133</v>
      </c>
      <c r="C44" s="130">
        <f>121*D44</f>
        <v>8107</v>
      </c>
      <c r="D44" s="133">
        <v>67</v>
      </c>
      <c r="E44" s="87"/>
      <c r="F44" s="133"/>
      <c r="G44" s="131">
        <f t="shared" si="0"/>
        <v>1.8381344307270234E-2</v>
      </c>
      <c r="H44" s="134"/>
    </row>
    <row r="45" spans="1:8" ht="16.5" thickBot="1">
      <c r="A45" s="1012"/>
      <c r="B45" s="129" t="s">
        <v>165</v>
      </c>
      <c r="C45" s="130">
        <f>159*D45</f>
        <v>12402</v>
      </c>
      <c r="D45" s="133">
        <v>78</v>
      </c>
      <c r="E45" s="87"/>
      <c r="F45" s="133"/>
      <c r="G45" s="131">
        <f t="shared" si="0"/>
        <v>2.1399176954732511E-2</v>
      </c>
      <c r="H45" s="134"/>
    </row>
    <row r="46" spans="1:8">
      <c r="A46" s="1009"/>
      <c r="B46" s="129" t="s">
        <v>181</v>
      </c>
      <c r="C46" s="130">
        <f>163*D46</f>
        <v>38142</v>
      </c>
      <c r="D46" s="133">
        <v>234</v>
      </c>
      <c r="E46" s="87"/>
      <c r="F46" s="133"/>
      <c r="G46" s="131">
        <f t="shared" si="0"/>
        <v>6.4197530864197536E-2</v>
      </c>
      <c r="H46" s="134"/>
    </row>
    <row r="47" spans="1:8" ht="16.5" thickBot="1">
      <c r="A47" s="1011"/>
      <c r="B47" s="164" t="s">
        <v>462</v>
      </c>
      <c r="C47" s="57">
        <f>SUM(C31:C46)</f>
        <v>310139</v>
      </c>
      <c r="D47" s="57">
        <f>SUM(D31:D46)</f>
        <v>3645</v>
      </c>
      <c r="E47" s="57">
        <f>SUM(E31:E46)</f>
        <v>0</v>
      </c>
      <c r="F47" s="57">
        <f>SUM(F31:F46)</f>
        <v>0</v>
      </c>
      <c r="G47" s="135">
        <f>SUM(G31:G46)</f>
        <v>1</v>
      </c>
      <c r="H47" s="136">
        <f>SUM(H31:H36)</f>
        <v>0</v>
      </c>
    </row>
    <row r="48" spans="1:8" ht="6" customHeight="1" thickBot="1">
      <c r="A48" s="112"/>
      <c r="B48" s="40"/>
      <c r="C48" s="3"/>
      <c r="H48" s="114"/>
    </row>
    <row r="49" spans="1:8" s="507" customFormat="1" ht="15.5" customHeight="1">
      <c r="A49" s="1013" t="s">
        <v>506</v>
      </c>
      <c r="B49" s="500" t="s">
        <v>451</v>
      </c>
      <c r="C49" s="502" t="s">
        <v>901</v>
      </c>
      <c r="D49" s="502" t="s">
        <v>902</v>
      </c>
      <c r="E49" s="496" t="s">
        <v>43</v>
      </c>
      <c r="F49" s="502" t="s">
        <v>903</v>
      </c>
      <c r="G49" s="497" t="s">
        <v>172</v>
      </c>
      <c r="H49" s="506" t="s">
        <v>470</v>
      </c>
    </row>
    <row r="50" spans="1:8" ht="16.5" customHeight="1">
      <c r="A50" s="1013"/>
      <c r="B50" s="129" t="s">
        <v>297</v>
      </c>
      <c r="C50" s="138" t="s">
        <v>436</v>
      </c>
      <c r="D50" s="139" t="s">
        <v>436</v>
      </c>
      <c r="E50" s="362" t="e">
        <f>(D50-C50)*17</f>
        <v>#VALUE!</v>
      </c>
      <c r="F50" s="139" t="s">
        <v>436</v>
      </c>
      <c r="G50" s="362" t="e">
        <f>(F50-C50)*17</f>
        <v>#VALUE!</v>
      </c>
      <c r="H50" s="140"/>
    </row>
    <row r="51" spans="1:8" ht="16.5" customHeight="1">
      <c r="A51" s="1013"/>
      <c r="B51" s="129" t="s">
        <v>295</v>
      </c>
      <c r="C51" s="138" t="s">
        <v>436</v>
      </c>
      <c r="D51" s="139" t="s">
        <v>436</v>
      </c>
      <c r="E51" s="362" t="e">
        <f>(D51-C51)*20</f>
        <v>#VALUE!</v>
      </c>
      <c r="F51" s="139" t="s">
        <v>436</v>
      </c>
      <c r="G51" s="362" t="e">
        <f>(F51-C51)*20</f>
        <v>#VALUE!</v>
      </c>
      <c r="H51" s="140"/>
    </row>
    <row r="52" spans="1:8" ht="16.5" customHeight="1">
      <c r="A52" s="1013"/>
      <c r="B52" s="129" t="s">
        <v>312</v>
      </c>
      <c r="C52" s="138" t="s">
        <v>436</v>
      </c>
      <c r="D52" s="139" t="s">
        <v>436</v>
      </c>
      <c r="E52" s="362" t="e">
        <f>(D52-C52)*20</f>
        <v>#VALUE!</v>
      </c>
      <c r="F52" s="139" t="s">
        <v>436</v>
      </c>
      <c r="G52" s="362" t="e">
        <f>(F52-C52)*25</f>
        <v>#VALUE!</v>
      </c>
      <c r="H52" s="140"/>
    </row>
    <row r="53" spans="1:8" ht="16.5" customHeight="1">
      <c r="A53" s="1013"/>
      <c r="B53" s="16" t="s">
        <v>175</v>
      </c>
      <c r="C53" s="138"/>
      <c r="D53" s="139"/>
      <c r="E53" s="362">
        <f>(D53-C53)*22</f>
        <v>0</v>
      </c>
      <c r="F53" s="139"/>
      <c r="G53" s="362">
        <f>(F53-C53)*22</f>
        <v>0</v>
      </c>
      <c r="H53" s="140"/>
    </row>
    <row r="54" spans="1:8" ht="16.5" customHeight="1">
      <c r="A54" s="1013"/>
      <c r="B54" s="129" t="s">
        <v>131</v>
      </c>
      <c r="C54" s="138"/>
      <c r="D54" s="139"/>
      <c r="E54" s="362">
        <f>(D54-C54)*25</f>
        <v>0</v>
      </c>
      <c r="F54" s="139"/>
      <c r="G54" s="362">
        <f>(F54-C54)*25</f>
        <v>0</v>
      </c>
      <c r="H54" s="140"/>
    </row>
    <row r="55" spans="1:8" ht="16.5" customHeight="1">
      <c r="A55" s="1013"/>
      <c r="B55" s="129" t="s">
        <v>183</v>
      </c>
      <c r="C55" s="138"/>
      <c r="D55" s="139"/>
      <c r="E55" s="362">
        <f>(D55-C55)*25</f>
        <v>0</v>
      </c>
      <c r="F55" s="139"/>
      <c r="G55" s="362">
        <f>(F55-C55)*25</f>
        <v>0</v>
      </c>
      <c r="H55" s="140"/>
    </row>
    <row r="56" spans="1:8" ht="16.5" customHeight="1">
      <c r="A56" s="1013"/>
      <c r="B56" s="129" t="s">
        <v>194</v>
      </c>
      <c r="C56" s="138"/>
      <c r="D56" s="139"/>
      <c r="E56" s="362">
        <f>(D56-C56)*28</f>
        <v>0</v>
      </c>
      <c r="F56" s="139"/>
      <c r="G56" s="362">
        <f>(F56-C56)*28</f>
        <v>0</v>
      </c>
      <c r="H56" s="140"/>
    </row>
    <row r="57" spans="1:8" ht="16.5" customHeight="1">
      <c r="A57" s="1013"/>
      <c r="B57" s="129" t="s">
        <v>190</v>
      </c>
      <c r="C57" s="138"/>
      <c r="D57" s="139"/>
      <c r="E57" s="362">
        <f>(D57-C57)*28</f>
        <v>0</v>
      </c>
      <c r="F57" s="139"/>
      <c r="G57" s="362">
        <f>(F57-C57)*28</f>
        <v>0</v>
      </c>
      <c r="H57" s="140"/>
    </row>
    <row r="58" spans="1:8" ht="16.5" customHeight="1">
      <c r="A58" s="1013"/>
      <c r="B58" s="129" t="s">
        <v>210</v>
      </c>
      <c r="C58" s="726">
        <v>10515000</v>
      </c>
      <c r="D58" s="139">
        <f>F58-2000000</f>
        <v>18580000</v>
      </c>
      <c r="E58" s="362">
        <f>(D58-C58)*33</f>
        <v>266145000</v>
      </c>
      <c r="F58" s="727">
        <v>20580000</v>
      </c>
      <c r="G58" s="362">
        <f>(F58-C58)*33</f>
        <v>332145000</v>
      </c>
      <c r="H58" s="140" t="s">
        <v>1185</v>
      </c>
    </row>
    <row r="59" spans="1:8" ht="16.5" customHeight="1">
      <c r="A59" s="1013"/>
      <c r="B59" s="129" t="s">
        <v>123</v>
      </c>
      <c r="C59" s="138"/>
      <c r="D59" s="139"/>
      <c r="E59" s="362">
        <f>(D59-C59)*33</f>
        <v>0</v>
      </c>
      <c r="F59" s="139"/>
      <c r="G59" s="362">
        <f>(F59-C59)*33</f>
        <v>0</v>
      </c>
      <c r="H59" s="140"/>
    </row>
    <row r="60" spans="1:8" ht="16.5" customHeight="1">
      <c r="A60" s="1013"/>
      <c r="B60" s="129" t="s">
        <v>154</v>
      </c>
      <c r="C60" s="138"/>
      <c r="D60" s="139"/>
      <c r="E60" s="362">
        <f>(D60-C60)*38</f>
        <v>0</v>
      </c>
      <c r="F60" s="139"/>
      <c r="G60" s="362">
        <f>(F60-C60)*38</f>
        <v>0</v>
      </c>
      <c r="H60" s="140"/>
    </row>
    <row r="61" spans="1:8" ht="16.5" customHeight="1">
      <c r="A61" s="1013"/>
      <c r="B61" s="129" t="s">
        <v>189</v>
      </c>
      <c r="C61" s="138"/>
      <c r="D61" s="139"/>
      <c r="E61" s="362">
        <f>(D61-C61)*38</f>
        <v>0</v>
      </c>
      <c r="F61" s="139"/>
      <c r="G61" s="362">
        <f>(F61-C61)*38</f>
        <v>0</v>
      </c>
      <c r="H61" s="140"/>
    </row>
    <row r="62" spans="1:8" ht="16.5" customHeight="1">
      <c r="A62" s="1013"/>
      <c r="B62" s="129" t="s">
        <v>122</v>
      </c>
      <c r="C62" s="138"/>
      <c r="D62" s="139"/>
      <c r="E62" s="362">
        <f>(D62-C62)*45</f>
        <v>0</v>
      </c>
      <c r="F62" s="139"/>
      <c r="G62" s="362">
        <f>(F62-C62)*45</f>
        <v>0</v>
      </c>
      <c r="H62" s="140"/>
    </row>
    <row r="63" spans="1:8" ht="16.5" customHeight="1">
      <c r="A63" s="1013"/>
      <c r="B63" s="129" t="s">
        <v>133</v>
      </c>
      <c r="C63" s="138"/>
      <c r="D63" s="139"/>
      <c r="E63" s="362">
        <f>(D63-C63)*45</f>
        <v>0</v>
      </c>
      <c r="F63" s="139"/>
      <c r="G63" s="362">
        <f>(F63-C63)*45</f>
        <v>0</v>
      </c>
      <c r="H63" s="140"/>
    </row>
    <row r="64" spans="1:8" ht="16.5" customHeight="1">
      <c r="A64" s="1013"/>
      <c r="B64" s="129" t="s">
        <v>165</v>
      </c>
      <c r="C64" s="138"/>
      <c r="D64" s="139"/>
      <c r="E64" s="362">
        <f>(D64-C64)*64</f>
        <v>0</v>
      </c>
      <c r="F64" s="139"/>
      <c r="G64" s="362">
        <f>(F64-C64)*64</f>
        <v>0</v>
      </c>
      <c r="H64" s="140"/>
    </row>
    <row r="65" spans="1:9" ht="16.5" customHeight="1">
      <c r="A65" s="1013"/>
      <c r="B65" s="129" t="s">
        <v>181</v>
      </c>
      <c r="C65" s="138"/>
      <c r="D65" s="139"/>
      <c r="E65" s="362">
        <f>(D65-C65)*66</f>
        <v>0</v>
      </c>
      <c r="F65" s="139"/>
      <c r="G65" s="362">
        <f>(F65-C65)*66</f>
        <v>0</v>
      </c>
      <c r="H65" s="140"/>
    </row>
    <row r="66" spans="1:9" ht="5.25" customHeight="1" thickBot="1">
      <c r="A66" s="142"/>
      <c r="B66" s="143"/>
      <c r="C66" s="144"/>
      <c r="D66" s="144"/>
      <c r="E66" s="145"/>
      <c r="F66" s="144"/>
      <c r="G66" s="145"/>
      <c r="H66" s="146"/>
    </row>
    <row r="67" spans="1:9" s="344" customFormat="1" ht="60.15" customHeight="1">
      <c r="A67" s="1006" t="s">
        <v>286</v>
      </c>
      <c r="B67" s="502" t="s">
        <v>101</v>
      </c>
      <c r="C67" s="508" t="s">
        <v>1393</v>
      </c>
      <c r="D67" s="508" t="s">
        <v>247</v>
      </c>
      <c r="E67" s="498" t="s">
        <v>322</v>
      </c>
      <c r="F67" s="508" t="s">
        <v>222</v>
      </c>
      <c r="G67" s="498" t="s">
        <v>367</v>
      </c>
      <c r="H67" s="502" t="s">
        <v>1136</v>
      </c>
      <c r="I67" s="824" t="s">
        <v>1206</v>
      </c>
    </row>
    <row r="68" spans="1:9">
      <c r="A68" s="1007"/>
      <c r="B68" s="213" t="s">
        <v>297</v>
      </c>
      <c r="C68" s="148" t="s">
        <v>436</v>
      </c>
      <c r="D68" s="139" t="e">
        <f t="shared" ref="D68:D83" si="1">E50</f>
        <v>#VALUE!</v>
      </c>
      <c r="E68" s="362" t="e">
        <f t="shared" ref="E68:E83" si="2">D68-C68</f>
        <v>#VALUE!</v>
      </c>
      <c r="F68" s="139" t="e">
        <f t="shared" ref="F68:F83" si="3">G50</f>
        <v>#VALUE!</v>
      </c>
      <c r="G68" s="362" t="e">
        <f t="shared" ref="G68:G83" si="4">F68-C68</f>
        <v>#VALUE!</v>
      </c>
      <c r="H68" s="739"/>
      <c r="I68" s="825"/>
    </row>
    <row r="69" spans="1:9">
      <c r="A69" s="1007"/>
      <c r="B69" s="213" t="s">
        <v>295</v>
      </c>
      <c r="C69" s="148" t="s">
        <v>436</v>
      </c>
      <c r="D69" s="139" t="e">
        <f t="shared" si="1"/>
        <v>#VALUE!</v>
      </c>
      <c r="E69" s="362" t="e">
        <f t="shared" si="2"/>
        <v>#VALUE!</v>
      </c>
      <c r="F69" s="139" t="e">
        <f t="shared" si="3"/>
        <v>#VALUE!</v>
      </c>
      <c r="G69" s="362" t="e">
        <f t="shared" si="4"/>
        <v>#VALUE!</v>
      </c>
      <c r="H69" s="739"/>
      <c r="I69" s="825"/>
    </row>
    <row r="70" spans="1:9">
      <c r="A70" s="1007"/>
      <c r="B70" s="213" t="s">
        <v>312</v>
      </c>
      <c r="C70" s="148" t="s">
        <v>436</v>
      </c>
      <c r="D70" s="139" t="e">
        <f t="shared" si="1"/>
        <v>#VALUE!</v>
      </c>
      <c r="E70" s="362" t="e">
        <f t="shared" si="2"/>
        <v>#VALUE!</v>
      </c>
      <c r="F70" s="139" t="e">
        <f t="shared" si="3"/>
        <v>#VALUE!</v>
      </c>
      <c r="G70" s="362" t="e">
        <f t="shared" si="4"/>
        <v>#VALUE!</v>
      </c>
      <c r="H70" s="739"/>
      <c r="I70" s="825"/>
    </row>
    <row r="71" spans="1:9">
      <c r="A71" s="1007"/>
      <c r="B71" s="25" t="s">
        <v>175</v>
      </c>
      <c r="C71" s="148" t="s">
        <v>436</v>
      </c>
      <c r="D71" s="139">
        <f t="shared" si="1"/>
        <v>0</v>
      </c>
      <c r="E71" s="362" t="e">
        <f t="shared" si="2"/>
        <v>#VALUE!</v>
      </c>
      <c r="F71" s="139">
        <f t="shared" si="3"/>
        <v>0</v>
      </c>
      <c r="G71" s="362" t="e">
        <f t="shared" si="4"/>
        <v>#VALUE!</v>
      </c>
      <c r="H71" s="739"/>
      <c r="I71" s="825"/>
    </row>
    <row r="72" spans="1:9">
      <c r="A72" s="1007"/>
      <c r="B72" s="213" t="s">
        <v>131</v>
      </c>
      <c r="C72" s="148" t="s">
        <v>436</v>
      </c>
      <c r="D72" s="139">
        <f t="shared" si="1"/>
        <v>0</v>
      </c>
      <c r="E72" s="362" t="e">
        <f t="shared" si="2"/>
        <v>#VALUE!</v>
      </c>
      <c r="F72" s="139">
        <f t="shared" si="3"/>
        <v>0</v>
      </c>
      <c r="G72" s="362" t="e">
        <f t="shared" si="4"/>
        <v>#VALUE!</v>
      </c>
      <c r="H72" s="739"/>
      <c r="I72" s="825"/>
    </row>
    <row r="73" spans="1:9">
      <c r="A73" s="1007"/>
      <c r="B73" s="213" t="s">
        <v>183</v>
      </c>
      <c r="C73" s="148" t="s">
        <v>436</v>
      </c>
      <c r="D73" s="139">
        <f t="shared" si="1"/>
        <v>0</v>
      </c>
      <c r="E73" s="362" t="e">
        <f t="shared" si="2"/>
        <v>#VALUE!</v>
      </c>
      <c r="F73" s="139">
        <f t="shared" si="3"/>
        <v>0</v>
      </c>
      <c r="G73" s="362" t="e">
        <f t="shared" si="4"/>
        <v>#VALUE!</v>
      </c>
      <c r="H73" s="739"/>
      <c r="I73" s="825"/>
    </row>
    <row r="74" spans="1:9">
      <c r="A74" s="1007"/>
      <c r="B74" s="213" t="s">
        <v>194</v>
      </c>
      <c r="C74" s="148" t="s">
        <v>436</v>
      </c>
      <c r="D74" s="139">
        <f t="shared" si="1"/>
        <v>0</v>
      </c>
      <c r="E74" s="362" t="e">
        <f t="shared" si="2"/>
        <v>#VALUE!</v>
      </c>
      <c r="F74" s="139">
        <f t="shared" si="3"/>
        <v>0</v>
      </c>
      <c r="G74" s="362" t="e">
        <f t="shared" si="4"/>
        <v>#VALUE!</v>
      </c>
      <c r="H74" s="95"/>
      <c r="I74" s="825"/>
    </row>
    <row r="75" spans="1:9">
      <c r="A75" s="1007"/>
      <c r="B75" s="213" t="s">
        <v>190</v>
      </c>
      <c r="C75" s="148" t="s">
        <v>436</v>
      </c>
      <c r="D75" s="139">
        <f t="shared" si="1"/>
        <v>0</v>
      </c>
      <c r="E75" s="362" t="e">
        <f t="shared" si="2"/>
        <v>#VALUE!</v>
      </c>
      <c r="F75" s="139">
        <f t="shared" si="3"/>
        <v>0</v>
      </c>
      <c r="G75" s="362" t="e">
        <f t="shared" si="4"/>
        <v>#VALUE!</v>
      </c>
      <c r="H75" s="739"/>
      <c r="I75" s="825"/>
    </row>
    <row r="76" spans="1:9" ht="17">
      <c r="A76" s="1007"/>
      <c r="B76" s="213" t="s">
        <v>210</v>
      </c>
      <c r="C76" s="148">
        <v>320000000</v>
      </c>
      <c r="D76" s="139">
        <f t="shared" si="1"/>
        <v>266145000</v>
      </c>
      <c r="E76" s="362">
        <f t="shared" si="2"/>
        <v>-53855000</v>
      </c>
      <c r="F76" s="139">
        <f t="shared" si="3"/>
        <v>332145000</v>
      </c>
      <c r="G76" s="362">
        <f t="shared" si="4"/>
        <v>12145000</v>
      </c>
      <c r="H76" s="62">
        <f>(C76+(C58*34))/34</f>
        <v>19926764.705882352</v>
      </c>
      <c r="I76" s="751">
        <f>H76/F58</f>
        <v>0.96825873206425417</v>
      </c>
    </row>
    <row r="77" spans="1:9">
      <c r="A77" s="1007"/>
      <c r="B77" s="213" t="s">
        <v>123</v>
      </c>
      <c r="C77" s="148" t="s">
        <v>436</v>
      </c>
      <c r="D77" s="139">
        <f t="shared" si="1"/>
        <v>0</v>
      </c>
      <c r="E77" s="362" t="e">
        <f t="shared" si="2"/>
        <v>#VALUE!</v>
      </c>
      <c r="F77" s="139">
        <f t="shared" si="3"/>
        <v>0</v>
      </c>
      <c r="G77" s="362" t="e">
        <f t="shared" si="4"/>
        <v>#VALUE!</v>
      </c>
      <c r="H77" s="739"/>
      <c r="I77" s="140"/>
    </row>
    <row r="78" spans="1:9">
      <c r="A78" s="1007"/>
      <c r="B78" s="213" t="s">
        <v>154</v>
      </c>
      <c r="C78" s="130" t="s">
        <v>436</v>
      </c>
      <c r="D78" s="139">
        <f t="shared" si="1"/>
        <v>0</v>
      </c>
      <c r="E78" s="362" t="e">
        <f t="shared" si="2"/>
        <v>#VALUE!</v>
      </c>
      <c r="F78" s="139">
        <f t="shared" si="3"/>
        <v>0</v>
      </c>
      <c r="G78" s="362" t="e">
        <f t="shared" si="4"/>
        <v>#VALUE!</v>
      </c>
      <c r="H78" s="739"/>
      <c r="I78" s="140"/>
    </row>
    <row r="79" spans="1:9">
      <c r="A79" s="1007"/>
      <c r="B79" s="213" t="s">
        <v>189</v>
      </c>
      <c r="C79" s="130" t="s">
        <v>436</v>
      </c>
      <c r="D79" s="139">
        <f t="shared" si="1"/>
        <v>0</v>
      </c>
      <c r="E79" s="362" t="e">
        <f t="shared" si="2"/>
        <v>#VALUE!</v>
      </c>
      <c r="F79" s="139">
        <f t="shared" si="3"/>
        <v>0</v>
      </c>
      <c r="G79" s="362" t="e">
        <f t="shared" si="4"/>
        <v>#VALUE!</v>
      </c>
      <c r="H79" s="739"/>
      <c r="I79" s="140"/>
    </row>
    <row r="80" spans="1:9">
      <c r="A80" s="1007"/>
      <c r="B80" s="213" t="s">
        <v>122</v>
      </c>
      <c r="C80" s="130" t="s">
        <v>436</v>
      </c>
      <c r="D80" s="139">
        <f t="shared" si="1"/>
        <v>0</v>
      </c>
      <c r="E80" s="362" t="e">
        <f t="shared" si="2"/>
        <v>#VALUE!</v>
      </c>
      <c r="F80" s="139">
        <f t="shared" si="3"/>
        <v>0</v>
      </c>
      <c r="G80" s="362" t="e">
        <f t="shared" si="4"/>
        <v>#VALUE!</v>
      </c>
      <c r="H80" s="739"/>
      <c r="I80" s="140"/>
    </row>
    <row r="81" spans="1:11">
      <c r="A81" s="1007"/>
      <c r="B81" s="213" t="s">
        <v>133</v>
      </c>
      <c r="C81" s="130" t="s">
        <v>436</v>
      </c>
      <c r="D81" s="139">
        <f t="shared" si="1"/>
        <v>0</v>
      </c>
      <c r="E81" s="362" t="e">
        <f t="shared" si="2"/>
        <v>#VALUE!</v>
      </c>
      <c r="F81" s="139">
        <f t="shared" si="3"/>
        <v>0</v>
      </c>
      <c r="G81" s="362" t="e">
        <f t="shared" si="4"/>
        <v>#VALUE!</v>
      </c>
      <c r="H81" s="739"/>
      <c r="I81" s="140"/>
    </row>
    <row r="82" spans="1:11">
      <c r="A82" s="1007"/>
      <c r="B82" s="213" t="s">
        <v>165</v>
      </c>
      <c r="C82" s="130" t="s">
        <v>436</v>
      </c>
      <c r="D82" s="139">
        <f t="shared" si="1"/>
        <v>0</v>
      </c>
      <c r="E82" s="362" t="e">
        <f t="shared" si="2"/>
        <v>#VALUE!</v>
      </c>
      <c r="F82" s="139">
        <f t="shared" si="3"/>
        <v>0</v>
      </c>
      <c r="G82" s="362" t="e">
        <f t="shared" si="4"/>
        <v>#VALUE!</v>
      </c>
      <c r="H82" s="739"/>
      <c r="I82" s="140"/>
    </row>
    <row r="83" spans="1:11" ht="16.5" thickBot="1">
      <c r="A83" s="1008"/>
      <c r="B83" s="175" t="s">
        <v>181</v>
      </c>
      <c r="C83" s="198" t="s">
        <v>436</v>
      </c>
      <c r="D83" s="179">
        <f t="shared" si="1"/>
        <v>0</v>
      </c>
      <c r="E83" s="363" t="e">
        <f t="shared" si="2"/>
        <v>#VALUE!</v>
      </c>
      <c r="F83" s="179">
        <f t="shared" si="3"/>
        <v>0</v>
      </c>
      <c r="G83" s="363" t="e">
        <f t="shared" si="4"/>
        <v>#VALUE!</v>
      </c>
      <c r="H83" s="740"/>
      <c r="I83" s="180"/>
    </row>
    <row r="84" spans="1:11" ht="6" customHeight="1" thickBot="1"/>
    <row r="85" spans="1:11" s="1" customFormat="1" ht="22.75" customHeight="1">
      <c r="A85" s="1014" t="s">
        <v>598</v>
      </c>
      <c r="B85" s="499" t="s">
        <v>599</v>
      </c>
      <c r="C85" s="242" t="s">
        <v>857</v>
      </c>
      <c r="D85" s="1003" t="s">
        <v>600</v>
      </c>
      <c r="E85" s="1004"/>
      <c r="F85" s="1004"/>
      <c r="G85" s="1004"/>
      <c r="H85" s="1005"/>
      <c r="I85" s="5"/>
      <c r="J85" s="5"/>
      <c r="K85" s="5"/>
    </row>
    <row r="86" spans="1:11" s="1" customFormat="1" ht="22.75" customHeight="1">
      <c r="A86" s="1015"/>
      <c r="B86" s="165" t="s">
        <v>613</v>
      </c>
      <c r="C86" s="708">
        <v>1329</v>
      </c>
      <c r="D86" s="492"/>
      <c r="H86" s="42"/>
      <c r="I86" s="509"/>
      <c r="J86" s="509"/>
      <c r="K86" s="509"/>
    </row>
    <row r="87" spans="1:11" s="1" customFormat="1" ht="22.75" customHeight="1">
      <c r="A87" s="1016"/>
      <c r="B87" s="165" t="s">
        <v>601</v>
      </c>
      <c r="C87" s="627">
        <v>1404</v>
      </c>
      <c r="D87" s="492"/>
      <c r="H87" s="42"/>
    </row>
    <row r="88" spans="1:11" s="1" customFormat="1" ht="22.75" customHeight="1">
      <c r="A88" s="1016"/>
      <c r="B88" s="165" t="s">
        <v>602</v>
      </c>
      <c r="C88" s="627">
        <v>1580</v>
      </c>
      <c r="D88" s="492"/>
      <c r="H88" s="42"/>
    </row>
    <row r="89" spans="1:11" s="1" customFormat="1" ht="22.75" customHeight="1">
      <c r="A89" s="1016"/>
      <c r="B89" s="165" t="s">
        <v>603</v>
      </c>
      <c r="C89" s="627">
        <v>1600</v>
      </c>
      <c r="D89" s="492"/>
      <c r="H89" s="42"/>
    </row>
    <row r="90" spans="1:11" s="1" customFormat="1" ht="22.75" customHeight="1">
      <c r="A90" s="1016"/>
      <c r="B90" s="165" t="s">
        <v>604</v>
      </c>
      <c r="C90" s="627">
        <v>1984</v>
      </c>
      <c r="D90" s="492"/>
      <c r="H90" s="42"/>
    </row>
    <row r="91" spans="1:11" s="1" customFormat="1" ht="22.75" customHeight="1">
      <c r="A91" s="1016"/>
      <c r="B91" s="165" t="s">
        <v>1176</v>
      </c>
      <c r="C91" s="627">
        <f>H76/10000</f>
        <v>1992.6764705882351</v>
      </c>
      <c r="D91" s="492"/>
      <c r="H91" s="42"/>
    </row>
    <row r="92" spans="1:11" s="1" customFormat="1" ht="22.75" customHeight="1">
      <c r="A92" s="1016"/>
      <c r="B92" s="165" t="s">
        <v>1182</v>
      </c>
      <c r="C92" s="627"/>
      <c r="D92" s="492"/>
      <c r="H92" s="42"/>
    </row>
    <row r="93" spans="1:11" s="1" customFormat="1" ht="22.75" customHeight="1">
      <c r="A93" s="1016"/>
      <c r="B93" s="165" t="s">
        <v>1183</v>
      </c>
      <c r="C93" s="627"/>
      <c r="D93" s="492"/>
      <c r="H93" s="42"/>
    </row>
    <row r="94" spans="1:11" s="1" customFormat="1" ht="22.25" customHeight="1">
      <c r="A94" s="1016"/>
      <c r="B94" s="165" t="s">
        <v>1170</v>
      </c>
      <c r="C94" s="627"/>
      <c r="D94" s="492"/>
      <c r="H94" s="42"/>
    </row>
    <row r="95" spans="1:11" s="1" customFormat="1" ht="22.75" customHeight="1" thickBot="1">
      <c r="A95" s="1017"/>
      <c r="B95" s="490" t="s">
        <v>1110</v>
      </c>
      <c r="C95" s="628"/>
      <c r="D95" s="493"/>
      <c r="E95" s="486"/>
      <c r="F95" s="486"/>
      <c r="G95" s="486"/>
      <c r="H95" s="487"/>
    </row>
    <row r="96" spans="1:11" ht="4" customHeight="1" thickBot="1"/>
    <row r="97" spans="1:8" ht="17">
      <c r="A97" s="826" t="s">
        <v>650</v>
      </c>
      <c r="B97" s="564" t="s">
        <v>773</v>
      </c>
      <c r="C97" s="565"/>
      <c r="D97" s="566"/>
      <c r="E97" s="559"/>
      <c r="F97" s="559"/>
      <c r="G97" s="559"/>
      <c r="H97" s="567"/>
    </row>
    <row r="98" spans="1:8" ht="15" customHeight="1">
      <c r="A98" s="827"/>
      <c r="B98" s="206" t="s">
        <v>774</v>
      </c>
      <c r="H98" s="114"/>
    </row>
    <row r="99" spans="1:8" ht="15" customHeight="1">
      <c r="A99" s="827"/>
      <c r="B99" s="206" t="s">
        <v>775</v>
      </c>
      <c r="H99" s="114"/>
    </row>
    <row r="100" spans="1:8" ht="15" customHeight="1">
      <c r="A100" s="827"/>
      <c r="B100" s="206" t="s">
        <v>776</v>
      </c>
      <c r="H100" s="114"/>
    </row>
    <row r="101" spans="1:8" ht="15" customHeight="1">
      <c r="A101" s="827"/>
      <c r="B101" s="206" t="s">
        <v>777</v>
      </c>
      <c r="H101" s="114"/>
    </row>
    <row r="102" spans="1:8" ht="16.5" thickBot="1">
      <c r="A102" s="828"/>
      <c r="B102" s="568" t="s">
        <v>778</v>
      </c>
      <c r="C102" s="569"/>
      <c r="D102" s="570"/>
      <c r="E102" s="571"/>
      <c r="F102" s="571"/>
      <c r="G102" s="571"/>
      <c r="H102" s="572"/>
    </row>
  </sheetData>
  <mergeCells count="20">
    <mergeCell ref="A1:H1"/>
    <mergeCell ref="A2:A18"/>
    <mergeCell ref="D7:E7"/>
    <mergeCell ref="G7:H7"/>
    <mergeCell ref="B17:B18"/>
    <mergeCell ref="C5:D5"/>
    <mergeCell ref="C6:D6"/>
    <mergeCell ref="F10:H10"/>
    <mergeCell ref="C3:H3"/>
    <mergeCell ref="C2:H2"/>
    <mergeCell ref="F14:G14"/>
    <mergeCell ref="F15:H15"/>
    <mergeCell ref="I67:I75"/>
    <mergeCell ref="D85:H85"/>
    <mergeCell ref="A67:A83"/>
    <mergeCell ref="A20:A28"/>
    <mergeCell ref="A97:A102"/>
    <mergeCell ref="A30:A47"/>
    <mergeCell ref="A49:A65"/>
    <mergeCell ref="A85:A95"/>
  </mergeCells>
  <phoneticPr fontId="16" type="noConversion"/>
  <pageMargins left="0.69972223043441772" right="0.69972223043441772" top="0.75" bottom="0.75" header="0.30000001192092896" footer="0.30000001192092896"/>
  <pageSetup paperSize="9" scale="53" orientation="portrait" horizontalDpi="4294967293" verticalDpi="4294967293" r:id="rId1"/>
  <rowBreaks count="3" manualBreakCount="3">
    <brk id="65" max="7" man="1"/>
    <brk id="83" max="1048575" man="1"/>
    <brk id="89" max="1048575" man="1"/>
  </rowBreaks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CC"/>
  </sheetPr>
  <dimension ref="A1:K63"/>
  <sheetViews>
    <sheetView showGridLines="0" topLeftCell="A34" zoomScale="85" zoomScaleNormal="85" zoomScaleSheetLayoutView="100" workbookViewId="0">
      <selection activeCell="I49" sqref="I49"/>
    </sheetView>
  </sheetViews>
  <sheetFormatPr defaultColWidth="13.4140625" defaultRowHeight="16"/>
  <cols>
    <col min="1" max="1" width="9.58203125" style="76" customWidth="1"/>
    <col min="2" max="2" width="18.5" style="77" bestFit="1" customWidth="1"/>
    <col min="3" max="3" width="24.5" style="78" customWidth="1"/>
    <col min="4" max="4" width="22.08203125" style="79" bestFit="1" customWidth="1"/>
    <col min="5" max="5" width="13.9140625" style="76" bestFit="1" customWidth="1"/>
    <col min="6" max="6" width="15.75" style="76" bestFit="1" customWidth="1"/>
    <col min="7" max="7" width="14" style="76" bestFit="1" customWidth="1"/>
    <col min="8" max="8" width="16.9140625" style="76" bestFit="1" customWidth="1"/>
    <col min="9" max="9" width="26.33203125" style="76" bestFit="1" customWidth="1"/>
    <col min="10" max="12" width="13.4140625" style="76" bestFit="1" customWidth="1"/>
    <col min="13" max="16384" width="13.4140625" style="76"/>
  </cols>
  <sheetData>
    <row r="1" spans="1:8" ht="31.5" customHeight="1" thickBot="1">
      <c r="A1" s="927" t="s">
        <v>1430</v>
      </c>
      <c r="B1" s="927"/>
      <c r="C1" s="927"/>
      <c r="D1" s="927"/>
      <c r="E1" s="927"/>
      <c r="F1" s="927"/>
      <c r="G1" s="927"/>
      <c r="H1" s="927"/>
    </row>
    <row r="2" spans="1:8" ht="15.5" customHeight="1">
      <c r="A2" s="1009" t="s">
        <v>112</v>
      </c>
      <c r="B2" s="6" t="s">
        <v>420</v>
      </c>
      <c r="C2" s="852" t="s">
        <v>1431</v>
      </c>
      <c r="D2" s="852"/>
      <c r="E2" s="852"/>
      <c r="F2" s="852"/>
      <c r="G2" s="852"/>
      <c r="H2" s="852"/>
    </row>
    <row r="3" spans="1:8" ht="15" customHeight="1">
      <c r="A3" s="1012"/>
      <c r="B3" s="11" t="s">
        <v>471</v>
      </c>
      <c r="C3" s="851" t="s">
        <v>1427</v>
      </c>
      <c r="D3" s="851"/>
      <c r="E3" s="851"/>
      <c r="F3" s="851"/>
      <c r="G3" s="851"/>
      <c r="H3" s="851"/>
    </row>
    <row r="4" spans="1:8" ht="16.5" thickBot="1">
      <c r="A4" s="1012"/>
      <c r="B4" s="11" t="s">
        <v>407</v>
      </c>
      <c r="C4" s="809" t="s">
        <v>1432</v>
      </c>
      <c r="D4" s="810"/>
      <c r="E4" s="83"/>
      <c r="F4" s="83"/>
      <c r="G4" s="83"/>
      <c r="H4" s="84"/>
    </row>
    <row r="5" spans="1:8">
      <c r="A5" s="1009"/>
      <c r="B5" s="11" t="s">
        <v>58</v>
      </c>
      <c r="C5" s="845" t="s">
        <v>1433</v>
      </c>
      <c r="D5" s="846"/>
      <c r="E5" s="85"/>
      <c r="F5" s="85"/>
      <c r="G5" s="85"/>
      <c r="H5" s="86"/>
    </row>
    <row r="6" spans="1:8">
      <c r="A6" s="1012"/>
      <c r="B6" s="11" t="s">
        <v>53</v>
      </c>
      <c r="C6" s="845">
        <v>30370.6</v>
      </c>
      <c r="D6" s="847"/>
      <c r="E6" s="85"/>
      <c r="F6" s="85"/>
      <c r="G6" s="85"/>
      <c r="H6" s="86"/>
    </row>
    <row r="7" spans="1:8">
      <c r="A7" s="1018"/>
      <c r="B7" s="16" t="s">
        <v>99</v>
      </c>
      <c r="C7" s="87">
        <v>30370.6</v>
      </c>
      <c r="D7" s="840" t="s">
        <v>231</v>
      </c>
      <c r="E7" s="841"/>
      <c r="F7" s="470">
        <f>C7*0.3025/C9</f>
        <v>17.804469961240311</v>
      </c>
      <c r="G7" s="842" t="s">
        <v>522</v>
      </c>
      <c r="H7" s="843"/>
    </row>
    <row r="8" spans="1:8">
      <c r="A8" s="1018"/>
      <c r="B8" s="16" t="s">
        <v>425</v>
      </c>
      <c r="C8" s="87"/>
      <c r="D8" s="88"/>
      <c r="E8" s="83"/>
      <c r="F8" s="83"/>
      <c r="G8" s="83"/>
      <c r="H8" s="84"/>
    </row>
    <row r="9" spans="1:8">
      <c r="A9" s="1018"/>
      <c r="B9" s="16" t="s">
        <v>335</v>
      </c>
      <c r="C9" s="87">
        <v>516</v>
      </c>
      <c r="D9" s="89" t="s">
        <v>39</v>
      </c>
      <c r="E9" s="814">
        <f>C9/C11</f>
        <v>0.74566473988439308</v>
      </c>
      <c r="F9" s="88"/>
      <c r="G9" s="83"/>
      <c r="H9" s="84"/>
    </row>
    <row r="10" spans="1:8">
      <c r="A10" s="1018"/>
      <c r="B10" s="16" t="s">
        <v>54</v>
      </c>
      <c r="C10" s="471">
        <f>C11-C9</f>
        <v>176</v>
      </c>
      <c r="D10" s="89" t="s">
        <v>145</v>
      </c>
      <c r="E10" s="760">
        <f>C10/C11</f>
        <v>0.25433526011560692</v>
      </c>
      <c r="F10" s="848" t="s">
        <v>29</v>
      </c>
      <c r="G10" s="849"/>
      <c r="H10" s="850"/>
    </row>
    <row r="11" spans="1:8">
      <c r="A11" s="1018"/>
      <c r="B11" s="16" t="s">
        <v>150</v>
      </c>
      <c r="C11" s="87">
        <v>692</v>
      </c>
      <c r="D11" s="811"/>
      <c r="E11" s="83"/>
      <c r="F11" s="83"/>
      <c r="G11" s="83"/>
      <c r="H11" s="84"/>
    </row>
    <row r="12" spans="1:8">
      <c r="A12" s="1018"/>
      <c r="B12" s="16" t="s">
        <v>427</v>
      </c>
      <c r="C12" s="92">
        <v>0.3</v>
      </c>
      <c r="D12" s="93" t="s">
        <v>84</v>
      </c>
      <c r="E12" s="94">
        <f>C7*C12</f>
        <v>9111.1799999999985</v>
      </c>
      <c r="F12" s="95" t="s">
        <v>41</v>
      </c>
      <c r="G12" s="96">
        <f>E13/E12</f>
        <v>8.7666666666666675</v>
      </c>
      <c r="H12" s="97"/>
    </row>
    <row r="13" spans="1:8">
      <c r="A13" s="1018"/>
      <c r="B13" s="16" t="s">
        <v>466</v>
      </c>
      <c r="C13" s="92">
        <v>2.63</v>
      </c>
      <c r="D13" s="93" t="s">
        <v>91</v>
      </c>
      <c r="E13" s="98">
        <f>C7*C13</f>
        <v>79874.678</v>
      </c>
      <c r="F13" s="95" t="s">
        <v>209</v>
      </c>
      <c r="G13" s="473">
        <f>E13*76%</f>
        <v>60704.755279999998</v>
      </c>
      <c r="H13" s="99"/>
    </row>
    <row r="14" spans="1:8">
      <c r="A14" s="1018"/>
      <c r="B14" s="16" t="s">
        <v>208</v>
      </c>
      <c r="C14" s="100" t="s">
        <v>1431</v>
      </c>
      <c r="D14" s="88"/>
      <c r="E14" s="83"/>
      <c r="F14" s="840" t="s">
        <v>234</v>
      </c>
      <c r="G14" s="841"/>
      <c r="H14" s="367">
        <f>G13/C34</f>
        <v>1.3046929865887207</v>
      </c>
    </row>
    <row r="15" spans="1:8" ht="15" customHeight="1">
      <c r="A15" s="1018"/>
      <c r="B15" s="16" t="s">
        <v>441</v>
      </c>
      <c r="C15" s="101" t="s">
        <v>1431</v>
      </c>
      <c r="D15" s="102"/>
      <c r="E15" s="103"/>
      <c r="F15" s="848" t="s">
        <v>392</v>
      </c>
      <c r="G15" s="849"/>
      <c r="H15" s="850"/>
    </row>
    <row r="16" spans="1:8" ht="16.5" thickBot="1">
      <c r="A16" s="1018"/>
      <c r="B16" s="32" t="s">
        <v>87</v>
      </c>
      <c r="C16" s="100" t="s">
        <v>418</v>
      </c>
      <c r="D16" s="104"/>
      <c r="E16" s="83"/>
      <c r="F16" s="83"/>
      <c r="G16" s="83"/>
      <c r="H16" s="84"/>
    </row>
    <row r="17" spans="1:8" ht="15" customHeight="1" thickBot="1">
      <c r="A17" s="1009"/>
      <c r="B17" s="844" t="s">
        <v>470</v>
      </c>
      <c r="C17" s="105"/>
      <c r="D17" s="105" t="s">
        <v>1443</v>
      </c>
      <c r="E17" s="106"/>
      <c r="F17" s="106"/>
      <c r="G17" s="106"/>
      <c r="H17" s="107"/>
    </row>
    <row r="18" spans="1:8" ht="16.5" thickBot="1">
      <c r="A18" s="1019"/>
      <c r="B18" s="844"/>
      <c r="C18" s="108"/>
      <c r="D18" s="109"/>
      <c r="E18" s="110"/>
      <c r="F18" s="110"/>
      <c r="G18" s="110"/>
      <c r="H18" s="111"/>
    </row>
    <row r="19" spans="1:8" ht="5.25" customHeight="1" thickBot="1">
      <c r="A19" s="112"/>
      <c r="B19" s="40"/>
      <c r="C19" s="113"/>
      <c r="D19" s="113"/>
      <c r="H19" s="114"/>
    </row>
    <row r="20" spans="1:8">
      <c r="A20" s="1009" t="s">
        <v>49</v>
      </c>
      <c r="B20" s="43" t="s">
        <v>174</v>
      </c>
      <c r="C20" s="115" t="s">
        <v>1434</v>
      </c>
      <c r="D20" s="116"/>
      <c r="E20" s="117"/>
      <c r="F20" s="117"/>
      <c r="G20" s="117"/>
      <c r="H20" s="118"/>
    </row>
    <row r="21" spans="1:8" ht="16.5" thickBot="1">
      <c r="A21" s="1010"/>
      <c r="B21" s="25" t="s">
        <v>65</v>
      </c>
      <c r="C21" s="119" t="s">
        <v>1435</v>
      </c>
      <c r="D21" s="120"/>
      <c r="E21" s="83"/>
      <c r="F21" s="83"/>
      <c r="G21" s="83"/>
      <c r="H21" s="84"/>
    </row>
    <row r="22" spans="1:8">
      <c r="A22" s="1009"/>
      <c r="B22" s="25" t="s">
        <v>1436</v>
      </c>
      <c r="C22" s="93" t="s">
        <v>1437</v>
      </c>
      <c r="D22" s="120"/>
      <c r="E22" s="83"/>
      <c r="F22" s="83"/>
      <c r="G22" s="83"/>
      <c r="H22" s="84"/>
    </row>
    <row r="23" spans="1:8" ht="16.5" thickBot="1">
      <c r="A23" s="1010"/>
      <c r="B23" s="25" t="s">
        <v>95</v>
      </c>
      <c r="C23" s="93" t="s">
        <v>1440</v>
      </c>
      <c r="D23" s="120"/>
      <c r="E23" s="83"/>
      <c r="F23" s="83"/>
      <c r="G23" s="83"/>
      <c r="H23" s="84"/>
    </row>
    <row r="24" spans="1:8">
      <c r="A24" s="1009"/>
      <c r="B24" s="25" t="s">
        <v>59</v>
      </c>
      <c r="C24" s="93" t="s">
        <v>1438</v>
      </c>
      <c r="D24" s="120"/>
      <c r="E24" s="83"/>
      <c r="F24" s="83"/>
      <c r="G24" s="83"/>
      <c r="H24" s="84"/>
    </row>
    <row r="25" spans="1:8">
      <c r="A25" s="1010"/>
      <c r="B25" s="25" t="s">
        <v>452</v>
      </c>
      <c r="C25" s="93" t="s">
        <v>1439</v>
      </c>
      <c r="D25" s="91"/>
      <c r="E25" s="83"/>
      <c r="F25" s="83"/>
      <c r="G25" s="83"/>
      <c r="H25" s="84"/>
    </row>
    <row r="26" spans="1:8">
      <c r="A26" s="1010"/>
      <c r="B26" s="25" t="s">
        <v>445</v>
      </c>
      <c r="C26" s="93" t="s">
        <v>1441</v>
      </c>
      <c r="D26" s="91"/>
      <c r="E26" s="83"/>
      <c r="F26" s="83"/>
      <c r="G26" s="83"/>
      <c r="H26" s="84"/>
    </row>
    <row r="27" spans="1:8">
      <c r="A27" s="1010"/>
      <c r="B27" s="25" t="s">
        <v>769</v>
      </c>
      <c r="C27" s="93" t="s">
        <v>1442</v>
      </c>
      <c r="D27" s="91"/>
      <c r="E27" s="83"/>
      <c r="F27" s="83"/>
      <c r="G27" s="83"/>
      <c r="H27" s="84"/>
    </row>
    <row r="28" spans="1:8" ht="16.5" thickBot="1">
      <c r="A28" s="1011"/>
      <c r="B28" s="25" t="s">
        <v>771</v>
      </c>
      <c r="C28" s="812" t="s">
        <v>1444</v>
      </c>
      <c r="D28" s="123"/>
      <c r="E28" s="110"/>
      <c r="F28" s="110"/>
      <c r="G28" s="110"/>
      <c r="H28" s="111"/>
    </row>
    <row r="29" spans="1:8" ht="5.25" customHeight="1" thickBot="1">
      <c r="A29" s="112"/>
      <c r="B29" s="40"/>
      <c r="C29" s="3"/>
      <c r="H29" s="114"/>
    </row>
    <row r="30" spans="1:8" s="505" customFormat="1" ht="13.5" customHeight="1" thickBot="1">
      <c r="A30" s="1009" t="s">
        <v>160</v>
      </c>
      <c r="B30" s="500" t="s">
        <v>101</v>
      </c>
      <c r="C30" s="501" t="s">
        <v>48</v>
      </c>
      <c r="D30" s="502" t="s">
        <v>125</v>
      </c>
      <c r="E30" s="502" t="s">
        <v>434</v>
      </c>
      <c r="F30" s="502" t="s">
        <v>414</v>
      </c>
      <c r="G30" s="503" t="s">
        <v>454</v>
      </c>
      <c r="H30" s="504" t="s">
        <v>470</v>
      </c>
    </row>
    <row r="31" spans="1:8">
      <c r="A31" s="1009"/>
      <c r="B31" s="129" t="s">
        <v>1445</v>
      </c>
      <c r="C31" s="130">
        <f>59*D31</f>
        <v>2124</v>
      </c>
      <c r="D31" s="87">
        <v>36</v>
      </c>
      <c r="E31" s="87"/>
      <c r="F31" s="87"/>
      <c r="G31" s="131">
        <f>D31/$D$34</f>
        <v>5.2023121387283239E-2</v>
      </c>
      <c r="H31" s="132"/>
    </row>
    <row r="32" spans="1:8">
      <c r="A32" s="1010"/>
      <c r="B32" s="129" t="s">
        <v>131</v>
      </c>
      <c r="C32" s="130">
        <f>59*D32</f>
        <v>25252</v>
      </c>
      <c r="D32" s="87">
        <v>428</v>
      </c>
      <c r="E32" s="87"/>
      <c r="F32" s="87"/>
      <c r="G32" s="131">
        <f>D32/$D$34</f>
        <v>0.61849710982658956</v>
      </c>
      <c r="H32" s="132"/>
    </row>
    <row r="33" spans="1:11">
      <c r="A33" s="1012"/>
      <c r="B33" s="129" t="s">
        <v>210</v>
      </c>
      <c r="C33" s="130">
        <f>84*D33</f>
        <v>19152</v>
      </c>
      <c r="D33" s="133">
        <v>228</v>
      </c>
      <c r="E33" s="87"/>
      <c r="F33" s="133"/>
      <c r="G33" s="131">
        <f>D33/$D$34</f>
        <v>0.32947976878612717</v>
      </c>
      <c r="H33" s="134"/>
    </row>
    <row r="34" spans="1:11" ht="16.5" thickBot="1">
      <c r="A34" s="1011"/>
      <c r="B34" s="164" t="s">
        <v>462</v>
      </c>
      <c r="C34" s="57">
        <f>SUM(C31:C33)</f>
        <v>46528</v>
      </c>
      <c r="D34" s="57">
        <f>SUM(D31:D33)</f>
        <v>692</v>
      </c>
      <c r="E34" s="57">
        <f>SUM(E31:E33)</f>
        <v>0</v>
      </c>
      <c r="F34" s="57">
        <f>SUM(F31:F33)</f>
        <v>0</v>
      </c>
      <c r="G34" s="135">
        <f>SUM(G31:G33)</f>
        <v>1</v>
      </c>
      <c r="H34" s="136">
        <f>SUM(H31:H32)</f>
        <v>0</v>
      </c>
    </row>
    <row r="35" spans="1:11" ht="6" customHeight="1" thickBot="1">
      <c r="A35" s="112"/>
      <c r="B35" s="40"/>
      <c r="C35" s="3"/>
      <c r="H35" s="114"/>
    </row>
    <row r="36" spans="1:11" s="507" customFormat="1" ht="15.5" customHeight="1" thickBot="1">
      <c r="A36" s="1013" t="s">
        <v>506</v>
      </c>
      <c r="B36" s="500" t="s">
        <v>451</v>
      </c>
      <c r="C36" s="502" t="s">
        <v>839</v>
      </c>
      <c r="D36" s="502" t="s">
        <v>840</v>
      </c>
      <c r="E36" s="496" t="s">
        <v>43</v>
      </c>
      <c r="F36" s="502" t="s">
        <v>903</v>
      </c>
      <c r="G36" s="497" t="s">
        <v>172</v>
      </c>
      <c r="H36" s="506" t="s">
        <v>470</v>
      </c>
    </row>
    <row r="37" spans="1:11" ht="16.5" customHeight="1" thickBot="1">
      <c r="A37" s="1013"/>
      <c r="B37" s="129" t="s">
        <v>312</v>
      </c>
      <c r="C37" s="138" t="s">
        <v>436</v>
      </c>
      <c r="D37" s="139" t="s">
        <v>436</v>
      </c>
      <c r="E37" s="362" t="e">
        <f>(D37-C37)*20</f>
        <v>#VALUE!</v>
      </c>
      <c r="F37" s="139" t="s">
        <v>436</v>
      </c>
      <c r="G37" s="362" t="e">
        <f>(F37-C37)*25</f>
        <v>#VALUE!</v>
      </c>
      <c r="H37" s="140"/>
    </row>
    <row r="38" spans="1:11" ht="16.5" customHeight="1" thickBot="1">
      <c r="A38" s="1013"/>
      <c r="B38" s="129" t="s">
        <v>131</v>
      </c>
      <c r="C38" s="138"/>
      <c r="D38" s="139"/>
      <c r="E38" s="362">
        <f>(D38-C38)*25</f>
        <v>0</v>
      </c>
      <c r="F38" s="139"/>
      <c r="G38" s="362">
        <f>(F38-C38)*25</f>
        <v>0</v>
      </c>
      <c r="H38" s="140"/>
    </row>
    <row r="39" spans="1:11" ht="16.5" customHeight="1" thickBot="1">
      <c r="A39" s="1013"/>
      <c r="B39" s="129" t="s">
        <v>210</v>
      </c>
      <c r="C39" s="726">
        <f>F39*70%</f>
        <v>14406000</v>
      </c>
      <c r="D39" s="139">
        <f>F39-2000000</f>
        <v>18580000</v>
      </c>
      <c r="E39" s="362">
        <f>(D39-C39)*33</f>
        <v>137742000</v>
      </c>
      <c r="F39" s="727">
        <v>20580000</v>
      </c>
      <c r="G39" s="362">
        <f>(F39-C39)*33</f>
        <v>203742000</v>
      </c>
      <c r="H39" s="140" t="s">
        <v>1185</v>
      </c>
    </row>
    <row r="40" spans="1:11" ht="5.25" customHeight="1" thickBot="1">
      <c r="A40" s="142"/>
      <c r="B40" s="143"/>
      <c r="C40" s="144"/>
      <c r="D40" s="144"/>
      <c r="E40" s="145"/>
      <c r="F40" s="144"/>
      <c r="G40" s="145"/>
      <c r="H40" s="146"/>
    </row>
    <row r="41" spans="1:11" s="344" customFormat="1" ht="60.15" customHeight="1">
      <c r="A41" s="1006" t="s">
        <v>286</v>
      </c>
      <c r="B41" s="502" t="s">
        <v>101</v>
      </c>
      <c r="C41" s="508" t="s">
        <v>1393</v>
      </c>
      <c r="D41" s="508" t="s">
        <v>247</v>
      </c>
      <c r="E41" s="498" t="s">
        <v>322</v>
      </c>
      <c r="F41" s="508" t="s">
        <v>222</v>
      </c>
      <c r="G41" s="498" t="s">
        <v>367</v>
      </c>
      <c r="H41" s="502" t="s">
        <v>1135</v>
      </c>
      <c r="I41" s="824" t="s">
        <v>1205</v>
      </c>
    </row>
    <row r="42" spans="1:11">
      <c r="A42" s="1007"/>
      <c r="B42" s="213" t="s">
        <v>312</v>
      </c>
      <c r="C42" s="148" t="s">
        <v>436</v>
      </c>
      <c r="D42" s="139" t="e">
        <f>E37</f>
        <v>#VALUE!</v>
      </c>
      <c r="E42" s="362" t="e">
        <f t="shared" ref="E42:E44" si="0">D42-C42</f>
        <v>#VALUE!</v>
      </c>
      <c r="F42" s="139" t="e">
        <f>G37</f>
        <v>#VALUE!</v>
      </c>
      <c r="G42" s="362" t="e">
        <f t="shared" ref="G42:G44" si="1">F42-C42</f>
        <v>#VALUE!</v>
      </c>
      <c r="H42" s="739"/>
      <c r="I42" s="825"/>
    </row>
    <row r="43" spans="1:11">
      <c r="A43" s="1007"/>
      <c r="B43" s="213" t="s">
        <v>131</v>
      </c>
      <c r="C43" s="148" t="s">
        <v>436</v>
      </c>
      <c r="D43" s="139">
        <f>E38</f>
        <v>0</v>
      </c>
      <c r="E43" s="362" t="e">
        <f t="shared" si="0"/>
        <v>#VALUE!</v>
      </c>
      <c r="F43" s="139">
        <f>G38</f>
        <v>0</v>
      </c>
      <c r="G43" s="362" t="e">
        <f t="shared" si="1"/>
        <v>#VALUE!</v>
      </c>
      <c r="H43" s="739"/>
      <c r="I43" s="825"/>
    </row>
    <row r="44" spans="1:11" ht="17">
      <c r="A44" s="1007"/>
      <c r="B44" s="213" t="s">
        <v>210</v>
      </c>
      <c r="C44" s="148">
        <v>110000000</v>
      </c>
      <c r="D44" s="139">
        <f>E39</f>
        <v>137742000</v>
      </c>
      <c r="E44" s="362">
        <f t="shared" si="0"/>
        <v>27742000</v>
      </c>
      <c r="F44" s="139">
        <f>G39</f>
        <v>203742000</v>
      </c>
      <c r="G44" s="362">
        <f t="shared" si="1"/>
        <v>93742000</v>
      </c>
      <c r="H44" s="62">
        <f>(C44+(C39*34))/34</f>
        <v>17641294.117647059</v>
      </c>
      <c r="I44" s="751">
        <f>H44/F39</f>
        <v>0.85720573943863265</v>
      </c>
    </row>
    <row r="45" spans="1:11" ht="6" customHeight="1" thickBot="1"/>
    <row r="46" spans="1:11" s="1" customFormat="1" ht="22.75" customHeight="1">
      <c r="A46" s="1014" t="s">
        <v>598</v>
      </c>
      <c r="B46" s="499" t="s">
        <v>599</v>
      </c>
      <c r="C46" s="242" t="s">
        <v>857</v>
      </c>
      <c r="D46" s="1003" t="s">
        <v>600</v>
      </c>
      <c r="E46" s="1004"/>
      <c r="F46" s="1004"/>
      <c r="G46" s="1004"/>
      <c r="H46" s="1005"/>
      <c r="I46" s="5"/>
      <c r="J46" s="5"/>
      <c r="K46" s="5"/>
    </row>
    <row r="47" spans="1:11" s="1" customFormat="1" ht="22.75" customHeight="1">
      <c r="A47" s="1015"/>
      <c r="B47" s="165" t="s">
        <v>604</v>
      </c>
      <c r="C47" s="627">
        <f>(C44+(C39*34))/34/10000</f>
        <v>1764.129411764706</v>
      </c>
      <c r="D47" s="492"/>
      <c r="H47" s="42"/>
      <c r="I47" s="509"/>
      <c r="J47" s="509"/>
      <c r="K47" s="509"/>
    </row>
    <row r="48" spans="1:11" s="1" customFormat="1" ht="22.75" customHeight="1">
      <c r="A48" s="1016"/>
      <c r="B48" s="165" t="s">
        <v>605</v>
      </c>
      <c r="C48" s="627">
        <f>H44/10000</f>
        <v>1764.129411764706</v>
      </c>
      <c r="D48" s="492"/>
      <c r="H48" s="42"/>
    </row>
    <row r="49" spans="1:8" s="1" customFormat="1" ht="22.75" customHeight="1">
      <c r="A49" s="1016"/>
      <c r="B49" s="165" t="s">
        <v>1182</v>
      </c>
      <c r="C49" s="627"/>
      <c r="D49" s="492"/>
      <c r="H49" s="42"/>
    </row>
    <row r="50" spans="1:8" s="1" customFormat="1" ht="22.75" customHeight="1">
      <c r="A50" s="1016"/>
      <c r="B50" s="165" t="s">
        <v>1183</v>
      </c>
      <c r="C50" s="627"/>
      <c r="D50" s="492"/>
      <c r="H50" s="42"/>
    </row>
    <row r="51" spans="1:8" s="1" customFormat="1" ht="22.75" customHeight="1">
      <c r="A51" s="1016"/>
      <c r="B51" s="165" t="s">
        <v>608</v>
      </c>
      <c r="C51" s="627"/>
      <c r="D51" s="492"/>
      <c r="H51" s="42"/>
    </row>
    <row r="52" spans="1:8" s="1" customFormat="1" ht="22.75" customHeight="1">
      <c r="A52" s="1016"/>
      <c r="B52" s="165" t="s">
        <v>1446</v>
      </c>
      <c r="C52" s="627"/>
      <c r="D52" s="492"/>
      <c r="H52" s="42"/>
    </row>
    <row r="53" spans="1:8" s="1" customFormat="1" ht="22.75" customHeight="1">
      <c r="A53" s="1016"/>
      <c r="B53" s="165" t="s">
        <v>1447</v>
      </c>
      <c r="C53" s="627"/>
      <c r="D53" s="492"/>
      <c r="H53" s="42"/>
    </row>
    <row r="54" spans="1:8" s="1" customFormat="1" ht="22.75" customHeight="1">
      <c r="A54" s="1016"/>
      <c r="B54" s="165" t="s">
        <v>1448</v>
      </c>
      <c r="C54" s="627"/>
      <c r="D54" s="492"/>
      <c r="H54" s="42"/>
    </row>
    <row r="55" spans="1:8" s="1" customFormat="1" ht="22.25" customHeight="1">
      <c r="A55" s="1016"/>
      <c r="B55" s="165" t="s">
        <v>1449</v>
      </c>
      <c r="C55" s="627"/>
      <c r="D55" s="492"/>
      <c r="H55" s="42"/>
    </row>
    <row r="56" spans="1:8" s="1" customFormat="1" ht="22.75" customHeight="1" thickBot="1">
      <c r="A56" s="1017"/>
      <c r="B56" s="490" t="s">
        <v>1450</v>
      </c>
      <c r="C56" s="628"/>
      <c r="D56" s="493"/>
      <c r="E56" s="486"/>
      <c r="F56" s="486"/>
      <c r="G56" s="486"/>
      <c r="H56" s="487"/>
    </row>
    <row r="57" spans="1:8" ht="4" customHeight="1" thickBot="1"/>
    <row r="58" spans="1:8">
      <c r="A58" s="826" t="s">
        <v>650</v>
      </c>
      <c r="B58" s="564"/>
      <c r="C58" s="565"/>
      <c r="D58" s="566"/>
      <c r="E58" s="559"/>
      <c r="F58" s="559"/>
      <c r="G58" s="559"/>
      <c r="H58" s="567"/>
    </row>
    <row r="59" spans="1:8" ht="15" customHeight="1">
      <c r="A59" s="827"/>
      <c r="B59" s="206"/>
      <c r="H59" s="114"/>
    </row>
    <row r="60" spans="1:8" ht="15" customHeight="1">
      <c r="A60" s="827"/>
      <c r="B60" s="206"/>
      <c r="H60" s="114"/>
    </row>
    <row r="61" spans="1:8" ht="15" customHeight="1">
      <c r="A61" s="827"/>
      <c r="B61" s="206"/>
      <c r="H61" s="114"/>
    </row>
    <row r="62" spans="1:8" ht="15" customHeight="1">
      <c r="A62" s="827"/>
      <c r="B62" s="206"/>
      <c r="H62" s="114"/>
    </row>
    <row r="63" spans="1:8" ht="16.5" thickBot="1">
      <c r="A63" s="828"/>
      <c r="B63" s="568"/>
      <c r="C63" s="569"/>
      <c r="D63" s="570"/>
      <c r="E63" s="571"/>
      <c r="F63" s="571"/>
      <c r="G63" s="571"/>
      <c r="H63" s="572"/>
    </row>
  </sheetData>
  <mergeCells count="20">
    <mergeCell ref="A1:H1"/>
    <mergeCell ref="A2:A18"/>
    <mergeCell ref="C2:H2"/>
    <mergeCell ref="C3:H3"/>
    <mergeCell ref="C5:D5"/>
    <mergeCell ref="C6:D6"/>
    <mergeCell ref="D7:E7"/>
    <mergeCell ref="G7:H7"/>
    <mergeCell ref="F10:H10"/>
    <mergeCell ref="F14:G14"/>
    <mergeCell ref="I41:I43"/>
    <mergeCell ref="A46:A56"/>
    <mergeCell ref="D46:H46"/>
    <mergeCell ref="A58:A63"/>
    <mergeCell ref="F15:H15"/>
    <mergeCell ref="B17:B18"/>
    <mergeCell ref="A20:A28"/>
    <mergeCell ref="A30:A34"/>
    <mergeCell ref="A36:A39"/>
    <mergeCell ref="A41:A44"/>
  </mergeCells>
  <phoneticPr fontId="16" type="noConversion"/>
  <pageMargins left="0.69972223043441772" right="0.69972223043441772" top="0.75" bottom="0.75" header="0.30000001192092896" footer="0.30000001192092896"/>
  <pageSetup paperSize="9" scale="53" orientation="portrait" horizontalDpi="4294967293" verticalDpi="4294967293" r:id="rId1"/>
  <rowBreaks count="3" manualBreakCount="3">
    <brk id="39" max="7" man="1"/>
    <brk id="83" max="1048575" man="1"/>
    <brk id="89" max="1048575" man="1"/>
  </rowBreaks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J68"/>
  <sheetViews>
    <sheetView showGridLines="0" topLeftCell="A43" zoomScale="85" zoomScaleNormal="85" zoomScaleSheetLayoutView="110" workbookViewId="0">
      <selection activeCell="I54" sqref="I54"/>
    </sheetView>
  </sheetViews>
  <sheetFormatPr defaultColWidth="13.4140625" defaultRowHeight="16"/>
  <cols>
    <col min="1" max="1" width="15.9140625" style="76" bestFit="1" customWidth="1"/>
    <col min="2" max="2" width="18.5" style="77" bestFit="1" customWidth="1"/>
    <col min="3" max="3" width="24.58203125" style="78" customWidth="1"/>
    <col min="4" max="4" width="18.25" style="79" bestFit="1" customWidth="1"/>
    <col min="5" max="5" width="13.9140625" style="76" bestFit="1" customWidth="1"/>
    <col min="6" max="6" width="15.75" style="76" bestFit="1" customWidth="1"/>
    <col min="7" max="7" width="14" style="76" bestFit="1" customWidth="1"/>
    <col min="8" max="8" width="25.33203125" style="76" bestFit="1" customWidth="1"/>
    <col min="9" max="9" width="26.33203125" style="76" bestFit="1" customWidth="1"/>
    <col min="10" max="12" width="13.4140625" style="76" bestFit="1" customWidth="1"/>
    <col min="13" max="16384" width="13.4140625" style="76"/>
  </cols>
  <sheetData>
    <row r="1" spans="1:8" ht="31.5" customHeight="1" thickBot="1">
      <c r="A1" s="1021" t="s">
        <v>579</v>
      </c>
      <c r="B1" s="1021"/>
      <c r="C1" s="1021"/>
      <c r="D1" s="1021"/>
      <c r="E1" s="1021"/>
      <c r="F1" s="1021"/>
      <c r="G1" s="1021"/>
      <c r="H1" s="1021"/>
    </row>
    <row r="2" spans="1:8" ht="15.5" customHeight="1">
      <c r="A2" s="821" t="s">
        <v>112</v>
      </c>
      <c r="B2" s="6" t="s">
        <v>420</v>
      </c>
      <c r="C2" s="852" t="s">
        <v>580</v>
      </c>
      <c r="D2" s="852"/>
      <c r="E2" s="852"/>
      <c r="F2" s="852"/>
      <c r="G2" s="852"/>
      <c r="H2" s="852"/>
    </row>
    <row r="3" spans="1:8" ht="15" customHeight="1">
      <c r="A3" s="829"/>
      <c r="B3" s="11" t="s">
        <v>471</v>
      </c>
      <c r="C3" s="851" t="s">
        <v>579</v>
      </c>
      <c r="D3" s="851"/>
      <c r="E3" s="851"/>
      <c r="F3" s="851"/>
      <c r="G3" s="851"/>
      <c r="H3" s="851"/>
    </row>
    <row r="4" spans="1:8" ht="16.5" thickBot="1">
      <c r="A4" s="829"/>
      <c r="B4" s="11" t="s">
        <v>407</v>
      </c>
      <c r="C4" s="479" t="s">
        <v>581</v>
      </c>
      <c r="D4" s="480"/>
      <c r="E4" s="83"/>
      <c r="F4" s="83"/>
      <c r="G4" s="83"/>
      <c r="H4" s="84"/>
    </row>
    <row r="5" spans="1:8">
      <c r="A5" s="821"/>
      <c r="B5" s="11" t="s">
        <v>58</v>
      </c>
      <c r="C5" s="845" t="s">
        <v>263</v>
      </c>
      <c r="D5" s="846"/>
      <c r="E5" s="85"/>
      <c r="F5" s="85"/>
      <c r="G5" s="85"/>
      <c r="H5" s="86"/>
    </row>
    <row r="6" spans="1:8">
      <c r="A6" s="829"/>
      <c r="B6" s="11" t="s">
        <v>53</v>
      </c>
      <c r="C6" s="845">
        <f>15558*3.3058</f>
        <v>51431.636400000003</v>
      </c>
      <c r="D6" s="847"/>
      <c r="E6" s="85"/>
      <c r="F6" s="85"/>
      <c r="G6" s="85"/>
      <c r="H6" s="86"/>
    </row>
    <row r="7" spans="1:8">
      <c r="A7" s="838"/>
      <c r="B7" s="16" t="s">
        <v>99</v>
      </c>
      <c r="C7" s="87">
        <f>18692*3.3058</f>
        <v>61792.013599999998</v>
      </c>
      <c r="D7" s="840" t="s">
        <v>231</v>
      </c>
      <c r="E7" s="841"/>
      <c r="F7" s="359">
        <f>C7*0.3025/C9</f>
        <v>42.578779302961273</v>
      </c>
      <c r="G7" s="842" t="s">
        <v>522</v>
      </c>
      <c r="H7" s="843"/>
    </row>
    <row r="8" spans="1:8">
      <c r="A8" s="838"/>
      <c r="B8" s="16" t="s">
        <v>425</v>
      </c>
      <c r="C8" s="87">
        <v>11</v>
      </c>
      <c r="D8" s="88"/>
      <c r="E8" s="83"/>
      <c r="F8" s="83"/>
      <c r="G8" s="83"/>
      <c r="H8" s="84"/>
    </row>
    <row r="9" spans="1:8">
      <c r="A9" s="838"/>
      <c r="B9" s="16" t="s">
        <v>335</v>
      </c>
      <c r="C9" s="87">
        <f>C11-C10</f>
        <v>439</v>
      </c>
      <c r="D9" s="89" t="s">
        <v>39</v>
      </c>
      <c r="E9" s="90">
        <f>C9/C11</f>
        <v>0.33639846743295021</v>
      </c>
      <c r="F9" s="88"/>
      <c r="G9" s="83"/>
      <c r="H9" s="84"/>
    </row>
    <row r="10" spans="1:8">
      <c r="A10" s="838"/>
      <c r="B10" s="16" t="s">
        <v>54</v>
      </c>
      <c r="C10" s="360">
        <v>866</v>
      </c>
      <c r="D10" s="89" t="s">
        <v>145</v>
      </c>
      <c r="E10" s="361">
        <f>C10/C11</f>
        <v>0.66360153256704979</v>
      </c>
      <c r="F10" s="848" t="s">
        <v>29</v>
      </c>
      <c r="G10" s="849"/>
      <c r="H10" s="850"/>
    </row>
    <row r="11" spans="1:8">
      <c r="A11" s="838"/>
      <c r="B11" s="16" t="s">
        <v>150</v>
      </c>
      <c r="C11" s="87">
        <v>1305</v>
      </c>
      <c r="D11" s="481" t="s">
        <v>586</v>
      </c>
      <c r="E11" s="83"/>
      <c r="F11" s="83"/>
      <c r="G11" s="83"/>
      <c r="H11" s="84"/>
    </row>
    <row r="12" spans="1:8">
      <c r="A12" s="838"/>
      <c r="B12" s="16" t="s">
        <v>427</v>
      </c>
      <c r="C12" s="92">
        <v>0.16189999999999999</v>
      </c>
      <c r="D12" s="93" t="s">
        <v>84</v>
      </c>
      <c r="E12" s="94">
        <f>C7*C12</f>
        <v>10004.127001839999</v>
      </c>
      <c r="F12" s="95" t="s">
        <v>41</v>
      </c>
      <c r="G12" s="96">
        <f>E13/E12</f>
        <v>15.435453983940707</v>
      </c>
      <c r="H12" s="97"/>
    </row>
    <row r="13" spans="1:8">
      <c r="A13" s="838"/>
      <c r="B13" s="16" t="s">
        <v>466</v>
      </c>
      <c r="C13" s="92">
        <v>2.4990000000000001</v>
      </c>
      <c r="D13" s="93" t="s">
        <v>91</v>
      </c>
      <c r="E13" s="98">
        <f>C7*C13</f>
        <v>154418.24198640001</v>
      </c>
      <c r="F13" s="95" t="s">
        <v>209</v>
      </c>
      <c r="G13" s="28">
        <f>E13*76%</f>
        <v>117357.86390966401</v>
      </c>
      <c r="H13" s="99"/>
    </row>
    <row r="14" spans="1:8">
      <c r="A14" s="838"/>
      <c r="B14" s="16" t="s">
        <v>208</v>
      </c>
      <c r="C14" s="100" t="s">
        <v>588</v>
      </c>
      <c r="D14" s="88"/>
      <c r="E14" s="83"/>
      <c r="F14" s="840" t="s">
        <v>234</v>
      </c>
      <c r="G14" s="841"/>
      <c r="H14" s="55">
        <f>G13/C36</f>
        <v>1.2829361134031223</v>
      </c>
    </row>
    <row r="15" spans="1:8" ht="15" customHeight="1">
      <c r="A15" s="838"/>
      <c r="B15" s="16" t="s">
        <v>441</v>
      </c>
      <c r="C15" s="101" t="s">
        <v>582</v>
      </c>
      <c r="D15" s="102"/>
      <c r="E15" s="103"/>
      <c r="F15" s="848" t="s">
        <v>392</v>
      </c>
      <c r="G15" s="849"/>
      <c r="H15" s="850"/>
    </row>
    <row r="16" spans="1:8" ht="16.5" thickBot="1">
      <c r="A16" s="838"/>
      <c r="B16" s="32" t="s">
        <v>529</v>
      </c>
      <c r="C16" s="485">
        <v>1.03</v>
      </c>
      <c r="D16" s="235"/>
      <c r="E16" s="83"/>
      <c r="F16" s="83"/>
      <c r="G16" s="83"/>
      <c r="H16" s="84"/>
    </row>
    <row r="17" spans="1:10" ht="15" customHeight="1" thickBot="1">
      <c r="A17" s="821"/>
      <c r="B17" s="844" t="s">
        <v>470</v>
      </c>
      <c r="C17" s="1022"/>
      <c r="D17" s="105"/>
      <c r="E17" s="106"/>
      <c r="F17" s="106"/>
      <c r="G17" s="106"/>
      <c r="H17" s="107"/>
    </row>
    <row r="18" spans="1:10" ht="18" customHeight="1" thickBot="1">
      <c r="A18" s="839"/>
      <c r="B18" s="844"/>
      <c r="C18" s="1023"/>
      <c r="D18" s="365"/>
      <c r="E18" s="110"/>
      <c r="F18" s="110"/>
      <c r="G18" s="110"/>
      <c r="H18" s="111"/>
    </row>
    <row r="19" spans="1:10" ht="5.25" customHeight="1" thickBot="1">
      <c r="A19" s="112"/>
      <c r="B19" s="40"/>
      <c r="C19" s="113"/>
      <c r="D19" s="113"/>
      <c r="H19" s="114"/>
    </row>
    <row r="20" spans="1:10">
      <c r="A20" s="821" t="s">
        <v>49</v>
      </c>
      <c r="B20" s="43" t="s">
        <v>174</v>
      </c>
      <c r="C20" s="115" t="s">
        <v>589</v>
      </c>
      <c r="D20" s="116"/>
      <c r="E20" s="117"/>
      <c r="F20" s="117"/>
      <c r="G20" s="117"/>
      <c r="H20" s="118"/>
    </row>
    <row r="21" spans="1:10" ht="16.5" thickBot="1">
      <c r="A21" s="822"/>
      <c r="B21" s="25" t="s">
        <v>65</v>
      </c>
      <c r="C21" s="119" t="s">
        <v>590</v>
      </c>
      <c r="D21" s="120"/>
      <c r="E21" s="83"/>
      <c r="F21" s="83"/>
      <c r="G21" s="83"/>
      <c r="H21" s="84"/>
    </row>
    <row r="22" spans="1:10">
      <c r="A22" s="821"/>
      <c r="B22" s="25" t="s">
        <v>95</v>
      </c>
      <c r="C22" s="93" t="s">
        <v>591</v>
      </c>
      <c r="D22" s="120"/>
      <c r="E22" s="83"/>
      <c r="F22" s="83"/>
      <c r="G22" s="83"/>
      <c r="H22" s="84"/>
    </row>
    <row r="23" spans="1:10" ht="16.5" thickBot="1">
      <c r="A23" s="822"/>
      <c r="B23" s="25" t="s">
        <v>59</v>
      </c>
      <c r="C23" s="93" t="s">
        <v>583</v>
      </c>
      <c r="D23" s="120"/>
      <c r="E23" s="83"/>
      <c r="F23" s="83"/>
      <c r="G23" s="83"/>
      <c r="H23" s="84"/>
    </row>
    <row r="24" spans="1:10" ht="32">
      <c r="A24" s="821"/>
      <c r="B24" s="25" t="s">
        <v>452</v>
      </c>
      <c r="C24" s="512" t="s">
        <v>619</v>
      </c>
      <c r="D24" s="120"/>
      <c r="E24" s="83"/>
      <c r="F24" s="83"/>
      <c r="G24" s="83"/>
      <c r="H24" s="84"/>
    </row>
    <row r="25" spans="1:10">
      <c r="A25" s="822"/>
      <c r="B25" s="25" t="s">
        <v>445</v>
      </c>
      <c r="C25" s="93" t="s">
        <v>622</v>
      </c>
      <c r="D25" s="91"/>
      <c r="E25" s="83"/>
      <c r="F25" s="83"/>
      <c r="G25" s="83"/>
      <c r="H25" s="84"/>
    </row>
    <row r="26" spans="1:10">
      <c r="A26" s="822"/>
      <c r="B26" s="25" t="s">
        <v>167</v>
      </c>
      <c r="C26" s="93" t="s">
        <v>621</v>
      </c>
      <c r="D26" s="91"/>
      <c r="E26" s="83"/>
      <c r="F26" s="83"/>
      <c r="G26" s="83"/>
      <c r="H26" s="84"/>
    </row>
    <row r="27" spans="1:10">
      <c r="A27" s="822"/>
      <c r="B27" s="25" t="s">
        <v>447</v>
      </c>
      <c r="C27" s="93" t="s">
        <v>620</v>
      </c>
      <c r="D27" s="91"/>
      <c r="E27" s="83"/>
      <c r="F27" s="83"/>
      <c r="G27" s="83"/>
      <c r="H27" s="84"/>
      <c r="J27" s="484"/>
    </row>
    <row r="28" spans="1:10" ht="16.5" thickBot="1">
      <c r="A28" s="823"/>
      <c r="B28" s="478"/>
      <c r="C28" s="482"/>
      <c r="D28" s="123"/>
      <c r="E28" s="110"/>
      <c r="F28" s="110"/>
      <c r="G28" s="110"/>
      <c r="H28" s="111"/>
    </row>
    <row r="29" spans="1:10" ht="5.25" customHeight="1" thickBot="1">
      <c r="A29" s="112"/>
      <c r="B29" s="40"/>
      <c r="C29" s="3"/>
      <c r="H29" s="114"/>
    </row>
    <row r="30" spans="1:10" s="80" customFormat="1" ht="13.5" customHeight="1">
      <c r="A30" s="821" t="s">
        <v>160</v>
      </c>
      <c r="B30" s="345" t="s">
        <v>101</v>
      </c>
      <c r="C30" s="346" t="s">
        <v>48</v>
      </c>
      <c r="D30" s="347" t="s">
        <v>125</v>
      </c>
      <c r="E30" s="347" t="s">
        <v>434</v>
      </c>
      <c r="F30" s="347" t="s">
        <v>414</v>
      </c>
      <c r="G30" s="348" t="s">
        <v>465</v>
      </c>
      <c r="H30" s="349" t="s">
        <v>454</v>
      </c>
    </row>
    <row r="31" spans="1:10">
      <c r="A31" s="829"/>
      <c r="B31" s="129" t="s">
        <v>503</v>
      </c>
      <c r="C31" s="130">
        <f>39*D31</f>
        <v>2574</v>
      </c>
      <c r="D31" s="87">
        <v>66</v>
      </c>
      <c r="E31" s="87"/>
      <c r="F31" s="87"/>
      <c r="G31" s="223"/>
      <c r="H31" s="238">
        <f>D31/$D$36</f>
        <v>5.3268765133171914E-2</v>
      </c>
    </row>
    <row r="32" spans="1:10">
      <c r="A32" s="822"/>
      <c r="B32" s="129" t="s">
        <v>131</v>
      </c>
      <c r="C32" s="130">
        <f>59*D32</f>
        <v>22184</v>
      </c>
      <c r="D32" s="87">
        <v>376</v>
      </c>
      <c r="E32" s="87">
        <v>280</v>
      </c>
      <c r="F32" s="87">
        <v>96</v>
      </c>
      <c r="G32" s="223"/>
      <c r="H32" s="238">
        <f>D32/$D$36</f>
        <v>0.30347054075867635</v>
      </c>
    </row>
    <row r="33" spans="1:9">
      <c r="A33" s="829"/>
      <c r="B33" s="129" t="s">
        <v>585</v>
      </c>
      <c r="C33" s="130">
        <f>74*D33</f>
        <v>23680</v>
      </c>
      <c r="D33" s="87">
        <v>320</v>
      </c>
      <c r="E33" s="87">
        <v>245</v>
      </c>
      <c r="F33" s="133">
        <v>74</v>
      </c>
      <c r="G33" s="223">
        <v>1</v>
      </c>
      <c r="H33" s="238">
        <f>D33/$D$36</f>
        <v>0.25827280064568198</v>
      </c>
    </row>
    <row r="34" spans="1:9">
      <c r="A34" s="829"/>
      <c r="B34" s="129" t="s">
        <v>199</v>
      </c>
      <c r="C34" s="130">
        <f>84*D34</f>
        <v>34692</v>
      </c>
      <c r="D34" s="87">
        <v>413</v>
      </c>
      <c r="E34" s="87">
        <v>98</v>
      </c>
      <c r="F34" s="133">
        <v>101</v>
      </c>
      <c r="G34" s="223">
        <v>1</v>
      </c>
      <c r="H34" s="238">
        <f>D34/$D$36</f>
        <v>0.33333333333333331</v>
      </c>
    </row>
    <row r="35" spans="1:9">
      <c r="A35" s="829"/>
      <c r="B35" s="129" t="s">
        <v>206</v>
      </c>
      <c r="C35" s="130">
        <f>84*D35</f>
        <v>10920</v>
      </c>
      <c r="D35" s="87">
        <v>130</v>
      </c>
      <c r="E35" s="87">
        <v>30</v>
      </c>
      <c r="F35" s="133">
        <v>99</v>
      </c>
      <c r="G35" s="223">
        <v>1</v>
      </c>
      <c r="H35" s="238">
        <f>D35/$D$36</f>
        <v>0.10492332526230831</v>
      </c>
    </row>
    <row r="36" spans="1:9" ht="16.5" thickBot="1">
      <c r="A36" s="823"/>
      <c r="B36" s="129" t="s">
        <v>462</v>
      </c>
      <c r="C36" s="57">
        <f t="shared" ref="C36:H36" si="0">SUM(C32:C35)</f>
        <v>91476</v>
      </c>
      <c r="D36" s="57">
        <f t="shared" si="0"/>
        <v>1239</v>
      </c>
      <c r="E36" s="57">
        <f t="shared" si="0"/>
        <v>653</v>
      </c>
      <c r="F36" s="57">
        <f t="shared" si="0"/>
        <v>370</v>
      </c>
      <c r="G36" s="57">
        <f t="shared" si="0"/>
        <v>3</v>
      </c>
      <c r="H36" s="239">
        <f t="shared" si="0"/>
        <v>1</v>
      </c>
    </row>
    <row r="37" spans="1:9" ht="6" customHeight="1" thickBot="1">
      <c r="A37" s="112"/>
      <c r="B37" s="40"/>
      <c r="C37" s="3"/>
      <c r="H37" s="114"/>
    </row>
    <row r="38" spans="1:9" s="77" customFormat="1" ht="15.5" customHeight="1" thickBot="1">
      <c r="A38" s="1020" t="s">
        <v>587</v>
      </c>
      <c r="B38" s="345" t="s">
        <v>451</v>
      </c>
      <c r="C38" s="347" t="s">
        <v>901</v>
      </c>
      <c r="D38" s="347" t="s">
        <v>902</v>
      </c>
      <c r="E38" s="347" t="s">
        <v>43</v>
      </c>
      <c r="F38" s="347" t="s">
        <v>903</v>
      </c>
      <c r="G38" s="350" t="s">
        <v>172</v>
      </c>
      <c r="H38" s="351" t="s">
        <v>510</v>
      </c>
    </row>
    <row r="39" spans="1:9" ht="16.5" customHeight="1" thickBot="1">
      <c r="A39" s="1020"/>
      <c r="B39" s="129" t="s">
        <v>503</v>
      </c>
      <c r="C39" s="138" t="s">
        <v>436</v>
      </c>
      <c r="D39" s="138" t="s">
        <v>436</v>
      </c>
      <c r="E39" s="362" t="e">
        <f>(D39-C39)*17</f>
        <v>#VALUE!</v>
      </c>
      <c r="F39" s="138" t="s">
        <v>436</v>
      </c>
      <c r="G39" s="362" t="e">
        <f>(F39-C39)*17</f>
        <v>#VALUE!</v>
      </c>
      <c r="H39" s="140" t="s">
        <v>449</v>
      </c>
    </row>
    <row r="40" spans="1:9" ht="16.5" thickBot="1">
      <c r="A40" s="1020"/>
      <c r="B40" s="129" t="s">
        <v>131</v>
      </c>
      <c r="C40" s="138">
        <f>204465957/25</f>
        <v>8178638.2800000003</v>
      </c>
      <c r="D40" s="138">
        <v>10300000</v>
      </c>
      <c r="E40" s="362">
        <f>(D40-C40)*25</f>
        <v>53034042.999999993</v>
      </c>
      <c r="F40" s="138"/>
      <c r="G40" s="362">
        <f>(F40-C40)*25</f>
        <v>-204465957</v>
      </c>
      <c r="H40" s="364"/>
    </row>
    <row r="41" spans="1:9" ht="16.5" customHeight="1" thickBot="1">
      <c r="A41" s="1020"/>
      <c r="B41" s="129" t="s">
        <v>585</v>
      </c>
      <c r="C41" s="138">
        <f>247800938/30</f>
        <v>8260031.2666666666</v>
      </c>
      <c r="D41" s="138">
        <v>10300000</v>
      </c>
      <c r="E41" s="362">
        <f>(D41-C41)*30</f>
        <v>61199062</v>
      </c>
      <c r="F41" s="138"/>
      <c r="G41" s="362">
        <f>(F41-C41)*30</f>
        <v>-247800938</v>
      </c>
      <c r="H41" s="140"/>
    </row>
    <row r="42" spans="1:9" ht="34.25" customHeight="1" thickBot="1">
      <c r="A42" s="1020"/>
      <c r="B42" s="129" t="s">
        <v>199</v>
      </c>
      <c r="C42" s="726">
        <f>283447942/34</f>
        <v>8336704.176470588</v>
      </c>
      <c r="D42" s="138">
        <v>11000000</v>
      </c>
      <c r="E42" s="362">
        <f>(D42-C42)*34</f>
        <v>90552058.000000015</v>
      </c>
      <c r="F42" s="726">
        <v>10200000</v>
      </c>
      <c r="G42" s="362">
        <f>(F42-C42)*34</f>
        <v>63352058.000000007</v>
      </c>
      <c r="H42" s="513" t="s">
        <v>623</v>
      </c>
    </row>
    <row r="43" spans="1:9" ht="16.5" customHeight="1" thickBot="1">
      <c r="A43" s="1020"/>
      <c r="B43" s="129" t="s">
        <v>206</v>
      </c>
      <c r="C43" s="138">
        <f>281386538/34</f>
        <v>8276074.6470588231</v>
      </c>
      <c r="D43" s="138">
        <v>10300000</v>
      </c>
      <c r="E43" s="362">
        <f>(D43-C43)*34</f>
        <v>68813462.000000015</v>
      </c>
      <c r="F43" s="138"/>
      <c r="G43" s="362">
        <f>(F43-C43)*34</f>
        <v>-281386538</v>
      </c>
      <c r="H43" s="140"/>
    </row>
    <row r="44" spans="1:9" ht="5.25" customHeight="1" thickBot="1">
      <c r="A44" s="142"/>
      <c r="B44" s="143"/>
      <c r="C44" s="144"/>
      <c r="D44" s="144"/>
      <c r="E44" s="145"/>
      <c r="F44" s="144"/>
      <c r="G44" s="145"/>
      <c r="H44" s="146"/>
    </row>
    <row r="45" spans="1:9" ht="60.15" customHeight="1">
      <c r="A45" s="818" t="s">
        <v>286</v>
      </c>
      <c r="B45" s="347" t="s">
        <v>101</v>
      </c>
      <c r="C45" s="508" t="s">
        <v>1393</v>
      </c>
      <c r="D45" s="352" t="s">
        <v>247</v>
      </c>
      <c r="E45" s="353" t="s">
        <v>322</v>
      </c>
      <c r="F45" s="352" t="s">
        <v>222</v>
      </c>
      <c r="G45" s="353" t="s">
        <v>367</v>
      </c>
      <c r="H45" s="347" t="s">
        <v>470</v>
      </c>
      <c r="I45" s="824" t="s">
        <v>1206</v>
      </c>
    </row>
    <row r="46" spans="1:9">
      <c r="A46" s="819"/>
      <c r="B46" s="213" t="s">
        <v>503</v>
      </c>
      <c r="C46" s="148" t="s">
        <v>436</v>
      </c>
      <c r="D46" s="139" t="e">
        <f>E39</f>
        <v>#VALUE!</v>
      </c>
      <c r="E46" s="362" t="e">
        <f>D46-C46</f>
        <v>#VALUE!</v>
      </c>
      <c r="F46" s="139" t="e">
        <f>G39</f>
        <v>#VALUE!</v>
      </c>
      <c r="G46" s="362" t="e">
        <f>F46-C46</f>
        <v>#VALUE!</v>
      </c>
      <c r="H46" s="739" t="s">
        <v>449</v>
      </c>
      <c r="I46" s="825"/>
    </row>
    <row r="47" spans="1:9">
      <c r="A47" s="819"/>
      <c r="B47" s="213" t="s">
        <v>131</v>
      </c>
      <c r="C47" s="148"/>
      <c r="D47" s="139">
        <f>E40</f>
        <v>53034042.999999993</v>
      </c>
      <c r="E47" s="362">
        <f>D47-C47</f>
        <v>53034042.999999993</v>
      </c>
      <c r="F47" s="139">
        <f>G40</f>
        <v>-204465957</v>
      </c>
      <c r="G47" s="362">
        <f>F47-C47</f>
        <v>-204465957</v>
      </c>
      <c r="H47" s="739"/>
      <c r="I47" s="825"/>
    </row>
    <row r="48" spans="1:9">
      <c r="A48" s="819"/>
      <c r="B48" s="213" t="s">
        <v>585</v>
      </c>
      <c r="C48" s="148"/>
      <c r="D48" s="139">
        <f>E41</f>
        <v>61199062</v>
      </c>
      <c r="E48" s="362">
        <f>D48-C48</f>
        <v>61199062</v>
      </c>
      <c r="F48" s="139">
        <f>G41</f>
        <v>-247800938</v>
      </c>
      <c r="G48" s="362">
        <f>F48-C48</f>
        <v>-247800938</v>
      </c>
      <c r="H48" s="739"/>
      <c r="I48" s="825"/>
    </row>
    <row r="49" spans="1:9" ht="17">
      <c r="A49" s="819"/>
      <c r="B49" s="213" t="s">
        <v>199</v>
      </c>
      <c r="C49" s="148">
        <v>100000000</v>
      </c>
      <c r="D49" s="139">
        <f>E42</f>
        <v>90552058.000000015</v>
      </c>
      <c r="E49" s="362">
        <f>D49-C49</f>
        <v>-9447941.9999999851</v>
      </c>
      <c r="F49" s="139">
        <f>G42</f>
        <v>63352058.000000007</v>
      </c>
      <c r="G49" s="362">
        <f>F49-C49</f>
        <v>-36647941.999999993</v>
      </c>
      <c r="H49" s="62">
        <f>(C49+(C42*34))/34</f>
        <v>11277880.647058824</v>
      </c>
      <c r="I49" s="751">
        <f>H49/F42</f>
        <v>1.1056745732410611</v>
      </c>
    </row>
    <row r="50" spans="1:9" ht="16.5" thickBot="1">
      <c r="A50" s="820"/>
      <c r="B50" s="175" t="s">
        <v>206</v>
      </c>
      <c r="C50" s="240"/>
      <c r="D50" s="179">
        <f>E43</f>
        <v>68813462.000000015</v>
      </c>
      <c r="E50" s="363">
        <f>D50-C50</f>
        <v>68813462.000000015</v>
      </c>
      <c r="F50" s="179">
        <f>G43</f>
        <v>-281386538</v>
      </c>
      <c r="G50" s="363">
        <f>F50-C50</f>
        <v>-281386538</v>
      </c>
      <c r="H50" s="740"/>
      <c r="I50" s="180"/>
    </row>
    <row r="51" spans="1:9">
      <c r="A51" s="1014" t="s">
        <v>598</v>
      </c>
      <c r="B51" s="499" t="s">
        <v>599</v>
      </c>
      <c r="C51" s="242" t="s">
        <v>857</v>
      </c>
      <c r="D51" s="1003" t="s">
        <v>600</v>
      </c>
      <c r="E51" s="1004"/>
      <c r="F51" s="1004"/>
      <c r="G51" s="1004"/>
      <c r="H51" s="1005"/>
    </row>
    <row r="52" spans="1:9">
      <c r="A52" s="1015"/>
      <c r="B52" s="165" t="s">
        <v>613</v>
      </c>
      <c r="C52" s="708">
        <v>1120</v>
      </c>
      <c r="D52" s="492"/>
      <c r="E52" s="1"/>
      <c r="F52" s="1"/>
      <c r="G52" s="1"/>
      <c r="H52" s="42"/>
    </row>
    <row r="53" spans="1:9">
      <c r="A53" s="1016"/>
      <c r="B53" s="165" t="s">
        <v>601</v>
      </c>
      <c r="C53" s="627">
        <v>1127</v>
      </c>
      <c r="D53" s="492"/>
      <c r="E53" s="1"/>
      <c r="F53" s="1"/>
      <c r="G53" s="1"/>
      <c r="H53" s="42"/>
    </row>
    <row r="54" spans="1:9">
      <c r="A54" s="1016"/>
      <c r="B54" s="165" t="s">
        <v>602</v>
      </c>
      <c r="C54" s="627">
        <v>1127</v>
      </c>
      <c r="D54" s="492"/>
      <c r="E54" s="1"/>
      <c r="F54" s="1"/>
      <c r="G54" s="1"/>
      <c r="H54" s="42"/>
    </row>
    <row r="55" spans="1:9">
      <c r="A55" s="1016"/>
      <c r="B55" s="165" t="s">
        <v>603</v>
      </c>
      <c r="C55" s="627">
        <v>1127</v>
      </c>
      <c r="D55" s="492"/>
      <c r="E55" s="1"/>
      <c r="F55" s="1"/>
      <c r="G55" s="1"/>
      <c r="H55" s="42"/>
    </row>
    <row r="56" spans="1:9">
      <c r="A56" s="1016"/>
      <c r="B56" s="165" t="s">
        <v>604</v>
      </c>
      <c r="C56" s="627">
        <v>1128</v>
      </c>
      <c r="D56" s="492"/>
      <c r="E56" s="1"/>
      <c r="F56" s="1"/>
      <c r="G56" s="1"/>
      <c r="H56" s="42"/>
    </row>
    <row r="57" spans="1:9">
      <c r="A57" s="1016"/>
      <c r="B57" s="165" t="s">
        <v>1176</v>
      </c>
      <c r="C57" s="627">
        <f>H49/10000</f>
        <v>1127.7880647058823</v>
      </c>
      <c r="D57" s="492"/>
      <c r="E57" s="1"/>
      <c r="F57" s="1"/>
      <c r="G57" s="1"/>
      <c r="H57" s="42"/>
    </row>
    <row r="58" spans="1:9">
      <c r="A58" s="1016"/>
      <c r="B58" s="165" t="s">
        <v>1182</v>
      </c>
      <c r="C58" s="627"/>
      <c r="D58" s="492"/>
      <c r="E58" s="1"/>
      <c r="F58" s="1"/>
      <c r="G58" s="1"/>
      <c r="H58" s="42"/>
    </row>
    <row r="59" spans="1:9">
      <c r="A59" s="1016"/>
      <c r="B59" s="165" t="s">
        <v>1183</v>
      </c>
      <c r="C59" s="627"/>
      <c r="D59" s="492"/>
      <c r="E59" s="1"/>
      <c r="F59" s="1"/>
      <c r="G59" s="1"/>
      <c r="H59" s="42"/>
    </row>
    <row r="60" spans="1:9">
      <c r="A60" s="1016"/>
      <c r="B60" s="165" t="s">
        <v>1170</v>
      </c>
      <c r="C60" s="627"/>
      <c r="D60" s="492"/>
      <c r="E60" s="1"/>
      <c r="F60" s="1"/>
      <c r="G60" s="1"/>
      <c r="H60" s="42"/>
    </row>
    <row r="61" spans="1:9" ht="17.5" thickBot="1">
      <c r="A61" s="1017"/>
      <c r="B61" s="490" t="s">
        <v>853</v>
      </c>
      <c r="C61" s="628"/>
      <c r="D61" s="493"/>
      <c r="E61" s="486"/>
      <c r="F61" s="486"/>
      <c r="G61" s="486"/>
      <c r="H61" s="487"/>
    </row>
    <row r="62" spans="1:9" ht="16.5" thickBot="1"/>
    <row r="63" spans="1:9">
      <c r="A63" s="826" t="s">
        <v>650</v>
      </c>
      <c r="B63" s="564"/>
      <c r="C63" s="565"/>
      <c r="D63" s="566"/>
      <c r="E63" s="559"/>
      <c r="F63" s="559"/>
      <c r="G63" s="559"/>
      <c r="H63" s="567"/>
    </row>
    <row r="64" spans="1:9">
      <c r="A64" s="827"/>
      <c r="B64" s="206"/>
      <c r="H64" s="114"/>
    </row>
    <row r="65" spans="1:8">
      <c r="A65" s="827"/>
      <c r="B65" s="206"/>
      <c r="H65" s="114"/>
    </row>
    <row r="66" spans="1:8">
      <c r="A66" s="827"/>
      <c r="B66" s="206"/>
      <c r="H66" s="114"/>
    </row>
    <row r="67" spans="1:8">
      <c r="A67" s="827"/>
      <c r="B67" s="206"/>
      <c r="H67" s="114"/>
    </row>
    <row r="68" spans="1:8" ht="16.5" thickBot="1">
      <c r="A68" s="828"/>
      <c r="B68" s="568"/>
      <c r="C68" s="569"/>
      <c r="D68" s="570"/>
      <c r="E68" s="571"/>
      <c r="F68" s="571"/>
      <c r="G68" s="571"/>
      <c r="H68" s="572"/>
    </row>
  </sheetData>
  <mergeCells count="21">
    <mergeCell ref="A38:A43"/>
    <mergeCell ref="A1:H1"/>
    <mergeCell ref="A2:A18"/>
    <mergeCell ref="C2:H2"/>
    <mergeCell ref="C3:H3"/>
    <mergeCell ref="C5:D5"/>
    <mergeCell ref="C6:D6"/>
    <mergeCell ref="D7:E7"/>
    <mergeCell ref="G7:H7"/>
    <mergeCell ref="F10:H10"/>
    <mergeCell ref="F14:G14"/>
    <mergeCell ref="F15:H15"/>
    <mergeCell ref="B17:B18"/>
    <mergeCell ref="C17:C18"/>
    <mergeCell ref="A20:A28"/>
    <mergeCell ref="A30:A36"/>
    <mergeCell ref="I45:I48"/>
    <mergeCell ref="A51:A61"/>
    <mergeCell ref="D51:H51"/>
    <mergeCell ref="A63:A68"/>
    <mergeCell ref="A45:A50"/>
  </mergeCells>
  <phoneticPr fontId="16" type="noConversion"/>
  <pageMargins left="0.69972223043441772" right="0.69972223043441772" top="0.75" bottom="0.75" header="0.30000001192092896" footer="0.30000001192092896"/>
  <pageSetup paperSize="9" scale="53" orientation="portrait" horizontalDpi="4294967293" verticalDpi="4294967293" r:id="rId1"/>
  <rowBreaks count="2" manualBreakCount="2">
    <brk id="83" max="1048575" man="1"/>
    <brk id="89" max="1048575" man="1"/>
  </rowBreaks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85"/>
  <sheetViews>
    <sheetView showGridLines="0" topLeftCell="A58" zoomScale="85" zoomScaleNormal="85" zoomScaleSheetLayoutView="70" workbookViewId="0">
      <selection activeCell="I65" sqref="I65"/>
    </sheetView>
  </sheetViews>
  <sheetFormatPr defaultColWidth="13.4140625" defaultRowHeight="16"/>
  <cols>
    <col min="1" max="1" width="4.9140625" style="1" customWidth="1"/>
    <col min="2" max="2" width="17.5" style="2" bestFit="1" customWidth="1"/>
    <col min="3" max="3" width="25.6640625" style="3" customWidth="1"/>
    <col min="4" max="4" width="19.6640625" style="4" customWidth="1"/>
    <col min="5" max="5" width="21.6640625" style="1" bestFit="1" customWidth="1"/>
    <col min="6" max="6" width="18.6640625" style="1" customWidth="1"/>
    <col min="7" max="7" width="18.08203125" style="1" bestFit="1" customWidth="1"/>
    <col min="8" max="8" width="12.1640625" style="1" bestFit="1" customWidth="1"/>
    <col min="9" max="9" width="26.33203125" style="1" bestFit="1" customWidth="1"/>
    <col min="10" max="16384" width="13.4140625" style="1"/>
  </cols>
  <sheetData>
    <row r="1" spans="1:8" ht="31.5" customHeight="1" thickBot="1">
      <c r="A1" s="872" t="s">
        <v>1015</v>
      </c>
      <c r="B1" s="873"/>
      <c r="C1" s="873"/>
      <c r="D1" s="873"/>
      <c r="E1" s="873"/>
      <c r="F1" s="873"/>
      <c r="G1" s="873"/>
      <c r="H1" s="874"/>
    </row>
    <row r="2" spans="1:8">
      <c r="A2" s="875" t="s">
        <v>112</v>
      </c>
      <c r="B2" s="6" t="s">
        <v>420</v>
      </c>
      <c r="C2" s="7" t="s">
        <v>625</v>
      </c>
      <c r="D2" s="8"/>
      <c r="E2" s="9"/>
      <c r="F2" s="9"/>
      <c r="G2" s="9"/>
      <c r="H2" s="10"/>
    </row>
    <row r="3" spans="1:8">
      <c r="A3" s="876"/>
      <c r="B3" s="11" t="s">
        <v>471</v>
      </c>
      <c r="C3" s="12" t="s">
        <v>1128</v>
      </c>
      <c r="D3" s="13"/>
      <c r="E3" s="14"/>
      <c r="F3" s="14"/>
      <c r="G3" s="14"/>
      <c r="H3" s="15"/>
    </row>
    <row r="4" spans="1:8">
      <c r="A4" s="876"/>
      <c r="B4" s="11" t="s">
        <v>407</v>
      </c>
      <c r="C4" s="856" t="s">
        <v>1016</v>
      </c>
      <c r="D4" s="857"/>
      <c r="E4" s="548" t="s">
        <v>644</v>
      </c>
      <c r="F4" s="529">
        <v>4500000</v>
      </c>
      <c r="G4" s="14"/>
      <c r="H4" s="15"/>
    </row>
    <row r="5" spans="1:8" ht="31.75" customHeight="1">
      <c r="A5" s="827"/>
      <c r="B5" s="16" t="s">
        <v>626</v>
      </c>
      <c r="C5" s="17">
        <v>98503</v>
      </c>
      <c r="D5" s="882" t="s">
        <v>624</v>
      </c>
      <c r="E5" s="859"/>
      <c r="F5" s="621">
        <f>C5*0.3025/C7</f>
        <v>31.699103723404253</v>
      </c>
      <c r="G5" s="858" t="s">
        <v>522</v>
      </c>
      <c r="H5" s="883"/>
    </row>
    <row r="6" spans="1:8">
      <c r="A6" s="827"/>
      <c r="B6" s="16" t="s">
        <v>425</v>
      </c>
      <c r="C6" s="17">
        <v>13</v>
      </c>
      <c r="D6" s="544" t="s">
        <v>627</v>
      </c>
      <c r="E6" s="530"/>
      <c r="F6" s="538" t="s">
        <v>628</v>
      </c>
      <c r="G6" s="884">
        <f>C5-E6</f>
        <v>98503</v>
      </c>
      <c r="H6" s="996"/>
    </row>
    <row r="7" spans="1:8">
      <c r="A7" s="827"/>
      <c r="B7" s="16" t="s">
        <v>121</v>
      </c>
      <c r="C7" s="17">
        <v>940</v>
      </c>
      <c r="D7" s="21" t="s">
        <v>39</v>
      </c>
      <c r="E7" s="251">
        <f>C7/C9</f>
        <v>0.40034071550255534</v>
      </c>
      <c r="F7" s="18"/>
      <c r="G7" s="19"/>
      <c r="H7" s="20"/>
    </row>
    <row r="8" spans="1:8">
      <c r="A8" s="827"/>
      <c r="B8" s="16" t="s">
        <v>54</v>
      </c>
      <c r="C8" s="249">
        <f>C9-C7</f>
        <v>1408</v>
      </c>
      <c r="D8" s="21" t="s">
        <v>145</v>
      </c>
      <c r="E8" s="620">
        <f>C8/C9</f>
        <v>0.59965928449744466</v>
      </c>
      <c r="F8" s="863" t="s">
        <v>29</v>
      </c>
      <c r="G8" s="864"/>
      <c r="H8" s="865"/>
    </row>
    <row r="9" spans="1:8">
      <c r="A9" s="827"/>
      <c r="B9" s="16" t="s">
        <v>125</v>
      </c>
      <c r="C9" s="17">
        <v>2348</v>
      </c>
      <c r="D9" s="683"/>
      <c r="E9" s="19"/>
      <c r="F9" s="19"/>
      <c r="G9" s="19"/>
      <c r="H9" s="20"/>
    </row>
    <row r="10" spans="1:8">
      <c r="A10" s="827"/>
      <c r="B10" s="16" t="s">
        <v>427</v>
      </c>
      <c r="C10" s="24">
        <v>0.1895</v>
      </c>
      <c r="D10" s="551" t="s">
        <v>84</v>
      </c>
      <c r="E10" s="545">
        <f>G6*C10</f>
        <v>18666.318500000001</v>
      </c>
      <c r="F10" s="544" t="s">
        <v>41</v>
      </c>
      <c r="G10" s="541">
        <f>E11/E10</f>
        <v>12.664907651715037</v>
      </c>
      <c r="H10" s="29"/>
    </row>
    <row r="11" spans="1:8">
      <c r="A11" s="827"/>
      <c r="B11" s="16" t="s">
        <v>466</v>
      </c>
      <c r="C11" s="24">
        <v>2.4</v>
      </c>
      <c r="D11" s="551" t="s">
        <v>631</v>
      </c>
      <c r="E11" s="546">
        <f>G6*C11</f>
        <v>236407.19999999998</v>
      </c>
      <c r="F11" s="544" t="s">
        <v>209</v>
      </c>
      <c r="G11" s="541">
        <f>E11*76%</f>
        <v>179669.47199999998</v>
      </c>
      <c r="H11" s="31"/>
    </row>
    <row r="12" spans="1:8" ht="32">
      <c r="A12" s="827"/>
      <c r="B12" s="16" t="s">
        <v>208</v>
      </c>
      <c r="C12" s="588" t="s">
        <v>1017</v>
      </c>
      <c r="D12" s="550" t="s">
        <v>629</v>
      </c>
      <c r="E12" s="529" t="s">
        <v>625</v>
      </c>
      <c r="F12" s="542" t="s">
        <v>234</v>
      </c>
      <c r="G12" s="543">
        <f>G11/C45</f>
        <v>1.0147664398068397</v>
      </c>
      <c r="H12" s="55"/>
    </row>
    <row r="13" spans="1:8">
      <c r="A13" s="827"/>
      <c r="B13" s="16" t="s">
        <v>441</v>
      </c>
      <c r="C13" s="25" t="s">
        <v>1018</v>
      </c>
      <c r="D13" s="544" t="s">
        <v>630</v>
      </c>
      <c r="E13" s="547" t="e">
        <f>C7*E12</f>
        <v>#VALUE!</v>
      </c>
      <c r="F13" s="540" t="s">
        <v>632</v>
      </c>
      <c r="G13" s="541">
        <f>E11*0.3025/F5</f>
        <v>2256</v>
      </c>
      <c r="H13" s="20"/>
    </row>
    <row r="14" spans="1:8">
      <c r="A14" s="827"/>
      <c r="B14" s="32" t="s">
        <v>641</v>
      </c>
      <c r="C14" s="33">
        <v>1</v>
      </c>
      <c r="D14" s="549" t="s">
        <v>633</v>
      </c>
      <c r="E14" s="530" t="s">
        <v>625</v>
      </c>
      <c r="F14" s="538" t="s">
        <v>645</v>
      </c>
      <c r="G14" s="539" t="e">
        <f>E14*G13</f>
        <v>#VALUE!</v>
      </c>
      <c r="H14" s="20"/>
    </row>
    <row r="15" spans="1:8" ht="3.65" customHeight="1" thickBot="1">
      <c r="A15" s="827"/>
      <c r="B15" s="516"/>
      <c r="C15" s="517"/>
      <c r="D15" s="518"/>
      <c r="E15" s="155"/>
      <c r="F15" s="514"/>
      <c r="G15" s="519"/>
      <c r="H15" s="156"/>
    </row>
    <row r="16" spans="1:8" ht="16.5" thickTop="1">
      <c r="A16" s="877"/>
      <c r="B16" s="520" t="s">
        <v>635</v>
      </c>
      <c r="C16" s="521" t="e">
        <f>E16+G16</f>
        <v>#VALUE!</v>
      </c>
      <c r="D16" s="522" t="s">
        <v>643</v>
      </c>
      <c r="E16" s="523" t="e">
        <f>G14*F4</f>
        <v>#VALUE!</v>
      </c>
      <c r="F16" s="524" t="s">
        <v>634</v>
      </c>
      <c r="G16" s="523" t="e">
        <f>E16*30%</f>
        <v>#VALUE!</v>
      </c>
      <c r="H16" s="593"/>
    </row>
    <row r="17" spans="1:8">
      <c r="A17" s="877"/>
      <c r="B17" s="526" t="s">
        <v>638</v>
      </c>
      <c r="C17" s="527" t="e">
        <f>(E17*C7)+(G17*C8)</f>
        <v>#VALUE!</v>
      </c>
      <c r="D17" s="528" t="s">
        <v>636</v>
      </c>
      <c r="E17" s="529" t="s">
        <v>625</v>
      </c>
      <c r="F17" s="530" t="s">
        <v>637</v>
      </c>
      <c r="G17" s="529" t="s">
        <v>625</v>
      </c>
      <c r="H17" s="594"/>
    </row>
    <row r="18" spans="1:8" ht="32.5" thickBot="1">
      <c r="A18" s="999"/>
      <c r="B18" s="685" t="s">
        <v>642</v>
      </c>
      <c r="C18" s="686" t="e">
        <f>E18/E13</f>
        <v>#VALUE!</v>
      </c>
      <c r="D18" s="687" t="s">
        <v>639</v>
      </c>
      <c r="E18" s="688" t="e">
        <f>C17-C16</f>
        <v>#VALUE!</v>
      </c>
      <c r="F18" s="689" t="s">
        <v>640</v>
      </c>
      <c r="G18" s="688" t="e">
        <f>E18/C7</f>
        <v>#VALUE!</v>
      </c>
      <c r="H18" s="690"/>
    </row>
    <row r="19" spans="1:8" ht="28" customHeight="1" thickBot="1">
      <c r="A19" s="691" t="s">
        <v>1019</v>
      </c>
      <c r="B19" s="1024" t="s">
        <v>1020</v>
      </c>
      <c r="C19" s="1025"/>
      <c r="D19" s="1025"/>
      <c r="E19" s="1025"/>
      <c r="F19" s="1025"/>
      <c r="G19" s="1025"/>
      <c r="H19" s="1026"/>
    </row>
    <row r="20" spans="1:8">
      <c r="A20" s="875" t="s">
        <v>49</v>
      </c>
      <c r="B20" s="43" t="s">
        <v>81</v>
      </c>
      <c r="C20" s="44" t="s">
        <v>1021</v>
      </c>
      <c r="D20" s="45"/>
      <c r="E20" s="9"/>
      <c r="F20" s="9"/>
      <c r="G20" s="9"/>
      <c r="H20" s="10"/>
    </row>
    <row r="21" spans="1:8">
      <c r="A21" s="827"/>
      <c r="B21" s="25" t="s">
        <v>147</v>
      </c>
      <c r="C21" s="46" t="s">
        <v>1022</v>
      </c>
      <c r="D21" s="47"/>
      <c r="E21" s="19"/>
      <c r="F21" s="19"/>
      <c r="G21" s="19"/>
      <c r="H21" s="20"/>
    </row>
    <row r="22" spans="1:8">
      <c r="A22" s="827"/>
      <c r="B22" s="25" t="s">
        <v>1024</v>
      </c>
      <c r="C22" s="622" t="s">
        <v>1023</v>
      </c>
      <c r="D22" s="47"/>
      <c r="E22" s="19"/>
      <c r="F22" s="19"/>
      <c r="G22" s="19"/>
      <c r="H22" s="20"/>
    </row>
    <row r="23" spans="1:8">
      <c r="A23" s="827"/>
      <c r="B23" s="25" t="s">
        <v>98</v>
      </c>
      <c r="C23" s="46" t="s">
        <v>1025</v>
      </c>
      <c r="D23" s="47"/>
      <c r="E23" s="19"/>
      <c r="F23" s="19"/>
      <c r="G23" s="19"/>
      <c r="H23" s="20"/>
    </row>
    <row r="24" spans="1:8">
      <c r="A24" s="827"/>
      <c r="B24" s="25" t="s">
        <v>73</v>
      </c>
      <c r="C24" s="25" t="s">
        <v>1026</v>
      </c>
      <c r="D24" s="23"/>
      <c r="E24" s="19"/>
      <c r="F24" s="19"/>
      <c r="G24" s="19"/>
      <c r="H24" s="20"/>
    </row>
    <row r="25" spans="1:8">
      <c r="A25" s="827"/>
      <c r="B25" s="25" t="s">
        <v>452</v>
      </c>
      <c r="C25" s="25" t="s">
        <v>620</v>
      </c>
      <c r="D25" s="23"/>
      <c r="E25" s="19"/>
      <c r="F25" s="19"/>
      <c r="G25" s="19"/>
      <c r="H25" s="20"/>
    </row>
    <row r="26" spans="1:8">
      <c r="A26" s="827"/>
      <c r="B26" s="25" t="s">
        <v>445</v>
      </c>
      <c r="C26" s="25" t="s">
        <v>687</v>
      </c>
      <c r="D26" s="23"/>
      <c r="E26" s="19"/>
      <c r="F26" s="19"/>
      <c r="G26" s="19"/>
      <c r="H26" s="20"/>
    </row>
    <row r="27" spans="1:8">
      <c r="A27" s="827"/>
      <c r="B27" s="25" t="s">
        <v>167</v>
      </c>
      <c r="C27" s="25" t="s">
        <v>659</v>
      </c>
      <c r="D27" s="23"/>
      <c r="E27" s="19"/>
      <c r="F27" s="19"/>
      <c r="G27" s="19"/>
      <c r="H27" s="20"/>
    </row>
    <row r="28" spans="1:8" ht="16.5" thickBot="1">
      <c r="A28" s="828"/>
      <c r="B28" s="682" t="s">
        <v>447</v>
      </c>
      <c r="C28" s="682" t="s">
        <v>935</v>
      </c>
      <c r="D28" s="48"/>
      <c r="E28" s="37"/>
      <c r="F28" s="37"/>
      <c r="G28" s="37"/>
      <c r="H28" s="38"/>
    </row>
    <row r="29" spans="1:8" ht="5.25" customHeight="1" thickBot="1">
      <c r="A29" s="39"/>
      <c r="B29" s="40"/>
      <c r="H29" s="42"/>
    </row>
    <row r="30" spans="1:8" s="5" customFormat="1">
      <c r="A30" s="875" t="s">
        <v>160</v>
      </c>
      <c r="B30" s="241" t="s">
        <v>101</v>
      </c>
      <c r="C30" s="242" t="s">
        <v>48</v>
      </c>
      <c r="D30" s="243" t="s">
        <v>125</v>
      </c>
      <c r="E30" s="243" t="s">
        <v>526</v>
      </c>
      <c r="F30" s="243" t="s">
        <v>527</v>
      </c>
      <c r="G30" s="243" t="s">
        <v>528</v>
      </c>
      <c r="H30" s="244" t="s">
        <v>454</v>
      </c>
    </row>
    <row r="31" spans="1:8">
      <c r="A31" s="827"/>
      <c r="B31" s="16" t="s">
        <v>1028</v>
      </c>
      <c r="C31" s="53">
        <f>39*D31</f>
        <v>4602</v>
      </c>
      <c r="D31" s="17">
        <v>118</v>
      </c>
      <c r="E31" s="54"/>
      <c r="F31" s="54"/>
      <c r="G31" s="54"/>
      <c r="H31" s="55">
        <f t="shared" ref="H31:H36" si="0">D31/$D$45</f>
        <v>5.0255536626916522E-2</v>
      </c>
    </row>
    <row r="32" spans="1:8">
      <c r="A32" s="827"/>
      <c r="B32" s="16" t="s">
        <v>1029</v>
      </c>
      <c r="C32" s="53">
        <f>44*D32</f>
        <v>3608</v>
      </c>
      <c r="D32" s="17">
        <v>82</v>
      </c>
      <c r="E32" s="54"/>
      <c r="F32" s="160"/>
      <c r="G32" s="54"/>
      <c r="H32" s="55">
        <f t="shared" si="0"/>
        <v>3.4923339011925042E-2</v>
      </c>
    </row>
    <row r="33" spans="1:8">
      <c r="A33" s="827"/>
      <c r="B33" s="16" t="s">
        <v>1030</v>
      </c>
      <c r="C33" s="53">
        <f>44*D33</f>
        <v>440</v>
      </c>
      <c r="D33" s="17">
        <v>10</v>
      </c>
      <c r="E33" s="54"/>
      <c r="F33" s="160"/>
      <c r="G33" s="54"/>
      <c r="H33" s="55">
        <f t="shared" si="0"/>
        <v>4.2589437819420782E-3</v>
      </c>
    </row>
    <row r="34" spans="1:8">
      <c r="A34" s="827"/>
      <c r="B34" s="16" t="s">
        <v>1031</v>
      </c>
      <c r="C34" s="53">
        <f>59*D34</f>
        <v>28497</v>
      </c>
      <c r="D34" s="17">
        <v>483</v>
      </c>
      <c r="E34" s="54"/>
      <c r="F34" s="160"/>
      <c r="G34" s="54"/>
      <c r="H34" s="55">
        <f t="shared" si="0"/>
        <v>0.20570698466780238</v>
      </c>
    </row>
    <row r="35" spans="1:8">
      <c r="A35" s="827"/>
      <c r="B35" s="16" t="s">
        <v>1032</v>
      </c>
      <c r="C35" s="53">
        <f>74*D35</f>
        <v>23976</v>
      </c>
      <c r="D35" s="17">
        <v>324</v>
      </c>
      <c r="E35" s="54"/>
      <c r="F35" s="160"/>
      <c r="G35" s="54"/>
      <c r="H35" s="55">
        <f t="shared" si="0"/>
        <v>0.13798977853492334</v>
      </c>
    </row>
    <row r="36" spans="1:8">
      <c r="A36" s="827"/>
      <c r="B36" s="16" t="s">
        <v>1033</v>
      </c>
      <c r="C36" s="53">
        <f>74*D36</f>
        <v>9842</v>
      </c>
      <c r="D36" s="17">
        <v>133</v>
      </c>
      <c r="E36" s="54"/>
      <c r="F36" s="160"/>
      <c r="G36" s="54"/>
      <c r="H36" s="55">
        <f t="shared" si="0"/>
        <v>5.6643952299829645E-2</v>
      </c>
    </row>
    <row r="37" spans="1:8">
      <c r="A37" s="827"/>
      <c r="B37" s="32" t="s">
        <v>1034</v>
      </c>
      <c r="C37" s="53">
        <f>84*D37</f>
        <v>44016</v>
      </c>
      <c r="D37" s="692">
        <v>524</v>
      </c>
      <c r="E37" s="693"/>
      <c r="F37" s="694"/>
      <c r="G37" s="693"/>
      <c r="H37" s="55">
        <f t="shared" ref="H37:H44" si="1">D37/$D$45</f>
        <v>0.22316865417376491</v>
      </c>
    </row>
    <row r="38" spans="1:8">
      <c r="A38" s="827"/>
      <c r="B38" s="32" t="s">
        <v>1035</v>
      </c>
      <c r="C38" s="53">
        <f t="shared" ref="C38:C39" si="2">84*D38</f>
        <v>19572</v>
      </c>
      <c r="D38" s="692">
        <v>233</v>
      </c>
      <c r="E38" s="693"/>
      <c r="F38" s="694"/>
      <c r="G38" s="693"/>
      <c r="H38" s="55">
        <f t="shared" si="1"/>
        <v>9.923339011925042E-2</v>
      </c>
    </row>
    <row r="39" spans="1:8">
      <c r="A39" s="827"/>
      <c r="B39" s="32" t="s">
        <v>1036</v>
      </c>
      <c r="C39" s="53">
        <f t="shared" si="2"/>
        <v>17472</v>
      </c>
      <c r="D39" s="692">
        <v>208</v>
      </c>
      <c r="E39" s="693"/>
      <c r="F39" s="694"/>
      <c r="G39" s="693"/>
      <c r="H39" s="55">
        <f t="shared" si="1"/>
        <v>8.8586030664395229E-2</v>
      </c>
    </row>
    <row r="40" spans="1:8">
      <c r="A40" s="827"/>
      <c r="B40" s="32" t="s">
        <v>1037</v>
      </c>
      <c r="C40" s="53">
        <f>108*D40</f>
        <v>23436</v>
      </c>
      <c r="D40" s="692">
        <v>217</v>
      </c>
      <c r="E40" s="693"/>
      <c r="F40" s="694"/>
      <c r="G40" s="693"/>
      <c r="H40" s="55">
        <f t="shared" si="1"/>
        <v>9.2419080068143103E-2</v>
      </c>
    </row>
    <row r="41" spans="1:8">
      <c r="A41" s="827"/>
      <c r="B41" s="32" t="s">
        <v>1038</v>
      </c>
      <c r="C41" s="53">
        <f>84*D41</f>
        <v>840</v>
      </c>
      <c r="D41" s="692">
        <v>10</v>
      </c>
      <c r="E41" s="693"/>
      <c r="F41" s="694"/>
      <c r="G41" s="693"/>
      <c r="H41" s="55">
        <f t="shared" si="1"/>
        <v>4.2589437819420782E-3</v>
      </c>
    </row>
    <row r="42" spans="1:8">
      <c r="A42" s="827"/>
      <c r="B42" s="32" t="s">
        <v>1039</v>
      </c>
      <c r="C42" s="53">
        <f>126*D42</f>
        <v>504</v>
      </c>
      <c r="D42" s="692">
        <v>4</v>
      </c>
      <c r="E42" s="693"/>
      <c r="F42" s="694"/>
      <c r="G42" s="693"/>
      <c r="H42" s="55">
        <f t="shared" si="1"/>
        <v>1.7035775127768314E-3</v>
      </c>
    </row>
    <row r="43" spans="1:8">
      <c r="A43" s="827"/>
      <c r="B43" s="32" t="s">
        <v>1040</v>
      </c>
      <c r="C43" s="53">
        <f>124*D43</f>
        <v>124</v>
      </c>
      <c r="D43" s="692">
        <v>1</v>
      </c>
      <c r="E43" s="693"/>
      <c r="F43" s="694"/>
      <c r="G43" s="693"/>
      <c r="H43" s="55">
        <f t="shared" si="1"/>
        <v>4.2589437819420784E-4</v>
      </c>
    </row>
    <row r="44" spans="1:8">
      <c r="A44" s="827"/>
      <c r="B44" s="32" t="s">
        <v>1041</v>
      </c>
      <c r="C44" s="53">
        <f>126*D44</f>
        <v>126</v>
      </c>
      <c r="D44" s="692">
        <v>1</v>
      </c>
      <c r="E44" s="693"/>
      <c r="F44" s="694"/>
      <c r="G44" s="693"/>
      <c r="H44" s="161">
        <f t="shared" si="1"/>
        <v>4.2589437819420784E-4</v>
      </c>
    </row>
    <row r="45" spans="1:8" ht="17.5" thickBot="1">
      <c r="A45" s="828"/>
      <c r="B45" s="56" t="s">
        <v>462</v>
      </c>
      <c r="C45" s="57">
        <f>SUM(C31:C44)</f>
        <v>177055</v>
      </c>
      <c r="D45" s="57">
        <f>SUM(D31:D44)</f>
        <v>2348</v>
      </c>
      <c r="E45" s="57">
        <f t="shared" ref="E45:H45" si="3">SUM(E31:E44)</f>
        <v>0</v>
      </c>
      <c r="F45" s="57">
        <f t="shared" si="3"/>
        <v>0</v>
      </c>
      <c r="G45" s="695">
        <f t="shared" si="3"/>
        <v>0</v>
      </c>
      <c r="H45" s="696">
        <f t="shared" si="3"/>
        <v>0.99999999999999989</v>
      </c>
    </row>
    <row r="46" spans="1:8" ht="4.5" customHeight="1" thickBot="1">
      <c r="A46" s="39"/>
      <c r="B46" s="40"/>
      <c r="H46" s="42"/>
    </row>
    <row r="47" spans="1:8" s="2" customFormat="1">
      <c r="A47" s="962" t="s">
        <v>393</v>
      </c>
      <c r="B47" s="241" t="s">
        <v>101</v>
      </c>
      <c r="C47" s="243" t="s">
        <v>839</v>
      </c>
      <c r="D47" s="243" t="s">
        <v>840</v>
      </c>
      <c r="E47" s="243" t="s">
        <v>43</v>
      </c>
      <c r="F47" s="243" t="s">
        <v>903</v>
      </c>
      <c r="G47" s="684" t="s">
        <v>46</v>
      </c>
      <c r="H47" s="246" t="s">
        <v>470</v>
      </c>
    </row>
    <row r="48" spans="1:8" ht="16.5" customHeight="1">
      <c r="A48" s="963"/>
      <c r="B48" s="16"/>
      <c r="C48" s="62"/>
      <c r="D48" s="63"/>
      <c r="E48" s="252"/>
      <c r="F48" s="63"/>
      <c r="G48" s="252"/>
      <c r="H48" s="31"/>
    </row>
    <row r="49" spans="1:9" ht="16.5" customHeight="1">
      <c r="A49" s="963"/>
      <c r="B49" s="16"/>
      <c r="C49" s="62"/>
      <c r="D49" s="63"/>
      <c r="E49" s="252">
        <f>(D49-C49)*25</f>
        <v>0</v>
      </c>
      <c r="F49" s="63"/>
      <c r="G49" s="252">
        <f>(F49-C49)*25</f>
        <v>0</v>
      </c>
      <c r="H49" s="31"/>
    </row>
    <row r="50" spans="1:9" ht="16.5" customHeight="1">
      <c r="A50" s="963"/>
      <c r="B50" s="16"/>
      <c r="C50" s="62"/>
      <c r="D50" s="63"/>
      <c r="E50" s="252">
        <f>(D50-C50)*25</f>
        <v>0</v>
      </c>
      <c r="F50" s="63"/>
      <c r="G50" s="252">
        <f>(F50-C50)*25</f>
        <v>0</v>
      </c>
      <c r="H50" s="31"/>
    </row>
    <row r="51" spans="1:9" ht="16.5" customHeight="1">
      <c r="A51" s="963"/>
      <c r="B51" s="16" t="s">
        <v>929</v>
      </c>
      <c r="C51" s="724">
        <f>F51*70%</f>
        <v>24087000</v>
      </c>
      <c r="D51" s="63">
        <f>F51-2000000</f>
        <v>32410000</v>
      </c>
      <c r="E51" s="252">
        <f>(D51-C51)*34</f>
        <v>282982000</v>
      </c>
      <c r="F51" s="723">
        <v>34410000</v>
      </c>
      <c r="G51" s="252">
        <f>(F51-C51)*34</f>
        <v>350982000</v>
      </c>
      <c r="H51" s="31" t="s">
        <v>1199</v>
      </c>
    </row>
    <row r="52" spans="1:9" ht="16.5" customHeight="1">
      <c r="A52" s="963"/>
      <c r="B52" s="16"/>
      <c r="C52" s="62"/>
      <c r="D52" s="63"/>
      <c r="E52" s="252">
        <f>(D52-C52)*34</f>
        <v>0</v>
      </c>
      <c r="F52" s="63"/>
      <c r="G52" s="252">
        <f>(F52-C52)*34</f>
        <v>0</v>
      </c>
      <c r="H52" s="31"/>
    </row>
    <row r="53" spans="1:9" ht="16.5" customHeight="1" thickBot="1">
      <c r="A53" s="964"/>
      <c r="B53" s="56"/>
      <c r="C53" s="64"/>
      <c r="D53" s="65"/>
      <c r="E53" s="366">
        <f>(D53-C53)*39</f>
        <v>0</v>
      </c>
      <c r="F53" s="65"/>
      <c r="G53" s="366">
        <f>(F53-C53)*39</f>
        <v>0</v>
      </c>
      <c r="H53" s="66"/>
    </row>
    <row r="54" spans="1:9" ht="5.25" customHeight="1" thickBot="1">
      <c r="A54" s="67"/>
      <c r="C54" s="68"/>
      <c r="D54" s="69"/>
      <c r="E54" s="69"/>
      <c r="F54" s="69"/>
      <c r="G54" s="69"/>
    </row>
    <row r="55" spans="1:9" ht="57" customHeight="1">
      <c r="A55" s="833" t="s">
        <v>257</v>
      </c>
      <c r="B55" s="243" t="s">
        <v>101</v>
      </c>
      <c r="C55" s="508" t="s">
        <v>1393</v>
      </c>
      <c r="D55" s="247" t="s">
        <v>247</v>
      </c>
      <c r="E55" s="247" t="s">
        <v>322</v>
      </c>
      <c r="F55" s="247" t="s">
        <v>222</v>
      </c>
      <c r="G55" s="247" t="s">
        <v>367</v>
      </c>
      <c r="H55" s="243" t="s">
        <v>1200</v>
      </c>
      <c r="I55" s="824" t="s">
        <v>1205</v>
      </c>
    </row>
    <row r="56" spans="1:9" ht="15" customHeight="1">
      <c r="A56" s="878"/>
      <c r="B56" s="25"/>
      <c r="C56" s="71" t="s">
        <v>436</v>
      </c>
      <c r="D56" s="62">
        <f t="shared" ref="D56:D61" si="4">E48</f>
        <v>0</v>
      </c>
      <c r="E56" s="253" t="e">
        <f t="shared" ref="E56:E61" si="5">D56-C56</f>
        <v>#VALUE!</v>
      </c>
      <c r="F56" s="62">
        <f t="shared" ref="F56:F61" si="6">G48</f>
        <v>0</v>
      </c>
      <c r="G56" s="253" t="e">
        <f t="shared" ref="G56:G61" si="7">F56-C56</f>
        <v>#VALUE!</v>
      </c>
      <c r="H56" s="62"/>
      <c r="I56" s="825"/>
    </row>
    <row r="57" spans="1:9">
      <c r="A57" s="834"/>
      <c r="B57" s="25"/>
      <c r="C57" s="71" t="s">
        <v>625</v>
      </c>
      <c r="D57" s="62">
        <f t="shared" si="4"/>
        <v>0</v>
      </c>
      <c r="E57" s="253" t="e">
        <f t="shared" si="5"/>
        <v>#VALUE!</v>
      </c>
      <c r="F57" s="62">
        <f t="shared" si="6"/>
        <v>0</v>
      </c>
      <c r="G57" s="253" t="e">
        <f t="shared" si="7"/>
        <v>#VALUE!</v>
      </c>
      <c r="H57" s="62"/>
      <c r="I57" s="825"/>
    </row>
    <row r="58" spans="1:9">
      <c r="A58" s="834"/>
      <c r="B58" s="25"/>
      <c r="C58" s="71" t="s">
        <v>625</v>
      </c>
      <c r="D58" s="62">
        <f t="shared" si="4"/>
        <v>0</v>
      </c>
      <c r="E58" s="253" t="e">
        <f t="shared" si="5"/>
        <v>#VALUE!</v>
      </c>
      <c r="F58" s="62">
        <f t="shared" si="6"/>
        <v>0</v>
      </c>
      <c r="G58" s="253" t="e">
        <f t="shared" si="7"/>
        <v>#VALUE!</v>
      </c>
      <c r="H58" s="62"/>
      <c r="I58" s="825"/>
    </row>
    <row r="59" spans="1:9" ht="17">
      <c r="A59" s="834"/>
      <c r="B59" s="25" t="s">
        <v>929</v>
      </c>
      <c r="C59" s="71">
        <v>340000000</v>
      </c>
      <c r="D59" s="62">
        <f t="shared" si="4"/>
        <v>282982000</v>
      </c>
      <c r="E59" s="253">
        <f t="shared" si="5"/>
        <v>-57018000</v>
      </c>
      <c r="F59" s="62">
        <f t="shared" si="6"/>
        <v>350982000</v>
      </c>
      <c r="G59" s="253">
        <f t="shared" si="7"/>
        <v>10982000</v>
      </c>
      <c r="H59" s="62">
        <f>(C59+(C51*34))/34</f>
        <v>34087000</v>
      </c>
      <c r="I59" s="751">
        <f>H59/F51</f>
        <v>0.99061319383900026</v>
      </c>
    </row>
    <row r="60" spans="1:9">
      <c r="A60" s="834"/>
      <c r="B60" s="25"/>
      <c r="C60" s="71" t="s">
        <v>625</v>
      </c>
      <c r="D60" s="62">
        <f t="shared" si="4"/>
        <v>0</v>
      </c>
      <c r="E60" s="253" t="e">
        <f t="shared" si="5"/>
        <v>#VALUE!</v>
      </c>
      <c r="F60" s="62">
        <f t="shared" si="6"/>
        <v>0</v>
      </c>
      <c r="G60" s="253" t="e">
        <f t="shared" si="7"/>
        <v>#VALUE!</v>
      </c>
      <c r="H60" s="62"/>
      <c r="I60" s="31"/>
    </row>
    <row r="61" spans="1:9" ht="16.5" thickBot="1">
      <c r="A61" s="836"/>
      <c r="B61" s="716"/>
      <c r="C61" s="74" t="s">
        <v>436</v>
      </c>
      <c r="D61" s="64">
        <f t="shared" si="4"/>
        <v>0</v>
      </c>
      <c r="E61" s="255" t="e">
        <f t="shared" si="5"/>
        <v>#VALUE!</v>
      </c>
      <c r="F61" s="64">
        <f t="shared" si="6"/>
        <v>0</v>
      </c>
      <c r="G61" s="255" t="e">
        <f t="shared" si="7"/>
        <v>#VALUE!</v>
      </c>
      <c r="H61" s="64"/>
      <c r="I61" s="66"/>
    </row>
    <row r="62" spans="1:9" ht="5" customHeight="1" thickBot="1"/>
    <row r="63" spans="1:9">
      <c r="A63" s="833" t="s">
        <v>598</v>
      </c>
      <c r="B63" s="243" t="s">
        <v>599</v>
      </c>
      <c r="C63" s="242" t="s">
        <v>660</v>
      </c>
      <c r="D63" s="965" t="s">
        <v>600</v>
      </c>
      <c r="E63" s="965"/>
      <c r="F63" s="965"/>
      <c r="G63" s="965"/>
      <c r="H63" s="966"/>
    </row>
    <row r="64" spans="1:9" ht="17">
      <c r="A64" s="834"/>
      <c r="B64" s="165" t="s">
        <v>1127</v>
      </c>
      <c r="C64" s="708">
        <v>1900</v>
      </c>
      <c r="D64" s="617"/>
      <c r="E64" s="54"/>
      <c r="F64" s="54"/>
      <c r="G64" s="54"/>
      <c r="H64" s="31"/>
    </row>
    <row r="65" spans="1:8">
      <c r="A65" s="834"/>
      <c r="B65" s="165" t="s">
        <v>602</v>
      </c>
      <c r="C65" s="708">
        <v>2000</v>
      </c>
      <c r="D65" s="17"/>
      <c r="E65" s="54"/>
      <c r="F65" s="54"/>
      <c r="G65" s="54"/>
      <c r="H65" s="31"/>
    </row>
    <row r="66" spans="1:8">
      <c r="A66" s="834"/>
      <c r="B66" s="165" t="s">
        <v>603</v>
      </c>
      <c r="C66" s="626">
        <v>2591</v>
      </c>
      <c r="D66" s="17"/>
      <c r="E66" s="54"/>
      <c r="F66" s="54"/>
      <c r="G66" s="54"/>
      <c r="H66" s="31"/>
    </row>
    <row r="67" spans="1:8">
      <c r="A67" s="834"/>
      <c r="B67" s="165" t="s">
        <v>604</v>
      </c>
      <c r="C67" s="626">
        <v>3428</v>
      </c>
      <c r="D67" s="17"/>
      <c r="E67" s="54"/>
      <c r="F67" s="54"/>
      <c r="G67" s="54"/>
      <c r="H67" s="31"/>
    </row>
    <row r="68" spans="1:8">
      <c r="A68" s="834"/>
      <c r="B68" s="165" t="s">
        <v>605</v>
      </c>
      <c r="C68" s="626">
        <f>H59/10000</f>
        <v>3408.7</v>
      </c>
      <c r="D68" s="17"/>
      <c r="E68" s="54"/>
      <c r="F68" s="54"/>
      <c r="G68" s="54"/>
      <c r="H68" s="31"/>
    </row>
    <row r="69" spans="1:8">
      <c r="A69" s="834"/>
      <c r="B69" s="165" t="s">
        <v>606</v>
      </c>
      <c r="C69" s="626"/>
      <c r="D69" s="17"/>
      <c r="E69" s="54"/>
      <c r="F69" s="54"/>
      <c r="G69" s="54"/>
      <c r="H69" s="31"/>
    </row>
    <row r="70" spans="1:8">
      <c r="A70" s="834"/>
      <c r="B70" s="165" t="s">
        <v>607</v>
      </c>
      <c r="C70" s="626"/>
      <c r="D70" s="17"/>
      <c r="E70" s="54"/>
      <c r="F70" s="54"/>
      <c r="G70" s="54"/>
      <c r="H70" s="31"/>
    </row>
    <row r="71" spans="1:8">
      <c r="A71" s="834"/>
      <c r="B71" s="165" t="s">
        <v>608</v>
      </c>
      <c r="C71" s="626"/>
      <c r="D71" s="17"/>
      <c r="E71" s="54"/>
      <c r="F71" s="54"/>
      <c r="G71" s="54"/>
      <c r="H71" s="31"/>
    </row>
    <row r="72" spans="1:8">
      <c r="A72" s="834"/>
      <c r="B72" s="165" t="s">
        <v>1201</v>
      </c>
      <c r="C72" s="626"/>
      <c r="D72" s="17"/>
      <c r="E72" s="54"/>
      <c r="F72" s="54"/>
      <c r="G72" s="54"/>
      <c r="H72" s="31"/>
    </row>
    <row r="73" spans="1:8">
      <c r="A73" s="834"/>
      <c r="B73" s="165" t="s">
        <v>1202</v>
      </c>
      <c r="C73" s="626"/>
      <c r="D73" s="17"/>
      <c r="E73" s="54"/>
      <c r="F73" s="54"/>
      <c r="G73" s="54"/>
      <c r="H73" s="31"/>
    </row>
    <row r="74" spans="1:8">
      <c r="A74" s="834"/>
      <c r="B74" s="165" t="s">
        <v>1203</v>
      </c>
      <c r="C74" s="626"/>
      <c r="D74" s="17"/>
      <c r="E74" s="54"/>
      <c r="F74" s="54"/>
      <c r="G74" s="54"/>
      <c r="H74" s="31"/>
    </row>
    <row r="75" spans="1:8">
      <c r="A75" s="834"/>
      <c r="B75" s="165" t="s">
        <v>1204</v>
      </c>
      <c r="C75" s="626"/>
      <c r="D75" s="17"/>
      <c r="E75" s="54"/>
      <c r="F75" s="54"/>
      <c r="G75" s="54"/>
      <c r="H75" s="31"/>
    </row>
    <row r="76" spans="1:8" ht="17.5" thickBot="1">
      <c r="A76" s="836"/>
      <c r="B76" s="490" t="s">
        <v>832</v>
      </c>
      <c r="C76" s="628"/>
      <c r="D76" s="618"/>
      <c r="E76" s="619"/>
      <c r="F76" s="619"/>
      <c r="G76" s="619"/>
      <c r="H76" s="66"/>
    </row>
    <row r="77" spans="1:8" ht="17" customHeight="1">
      <c r="A77" s="826" t="s">
        <v>650</v>
      </c>
      <c r="B77" s="1028" t="s">
        <v>1042</v>
      </c>
      <c r="C77" s="1029"/>
      <c r="D77" s="1029"/>
      <c r="E77" s="1029"/>
      <c r="F77" s="1029"/>
      <c r="G77" s="1029"/>
      <c r="H77" s="1030"/>
    </row>
    <row r="78" spans="1:8" ht="17" customHeight="1">
      <c r="A78" s="827"/>
      <c r="B78" s="1031"/>
      <c r="C78" s="1032"/>
      <c r="D78" s="1032"/>
      <c r="E78" s="1032"/>
      <c r="F78" s="1032"/>
      <c r="G78" s="1032"/>
      <c r="H78" s="1033"/>
    </row>
    <row r="79" spans="1:8" ht="17" customHeight="1">
      <c r="A79" s="827"/>
      <c r="B79" s="1031"/>
      <c r="C79" s="1032"/>
      <c r="D79" s="1032"/>
      <c r="E79" s="1032"/>
      <c r="F79" s="1032"/>
      <c r="G79" s="1032"/>
      <c r="H79" s="1033"/>
    </row>
    <row r="80" spans="1:8" ht="71.5" customHeight="1">
      <c r="A80" s="827"/>
      <c r="B80" s="1031"/>
      <c r="C80" s="1032"/>
      <c r="D80" s="1032"/>
      <c r="E80" s="1032"/>
      <c r="F80" s="1032"/>
      <c r="G80" s="1032"/>
      <c r="H80" s="1033"/>
    </row>
    <row r="81" spans="1:8" ht="64" customHeight="1">
      <c r="A81" s="827"/>
      <c r="B81" s="1031"/>
      <c r="C81" s="1032"/>
      <c r="D81" s="1032"/>
      <c r="E81" s="1032"/>
      <c r="F81" s="1032"/>
      <c r="G81" s="1032"/>
      <c r="H81" s="1033"/>
    </row>
    <row r="82" spans="1:8" ht="44" customHeight="1">
      <c r="A82" s="827"/>
      <c r="B82" s="1031"/>
      <c r="C82" s="1032"/>
      <c r="D82" s="1032"/>
      <c r="E82" s="1032"/>
      <c r="F82" s="1032"/>
      <c r="G82" s="1032"/>
      <c r="H82" s="1033"/>
    </row>
    <row r="83" spans="1:8" ht="66.5" customHeight="1" thickBot="1">
      <c r="A83" s="828"/>
      <c r="B83" s="1034"/>
      <c r="C83" s="1035"/>
      <c r="D83" s="1035"/>
      <c r="E83" s="1035"/>
      <c r="F83" s="1035"/>
      <c r="G83" s="1035"/>
      <c r="H83" s="1036"/>
    </row>
    <row r="85" spans="1:8" ht="184.5" customHeight="1">
      <c r="A85" s="1027" t="s">
        <v>1027</v>
      </c>
      <c r="B85" s="1027"/>
      <c r="C85" s="1027"/>
      <c r="D85" s="1027"/>
      <c r="E85" s="1027"/>
      <c r="F85" s="1027"/>
      <c r="G85" s="1027"/>
      <c r="H85" s="1027"/>
    </row>
  </sheetData>
  <mergeCells count="18">
    <mergeCell ref="A77:A83"/>
    <mergeCell ref="B19:H19"/>
    <mergeCell ref="A85:H85"/>
    <mergeCell ref="B77:H83"/>
    <mergeCell ref="A20:A28"/>
    <mergeCell ref="A30:A45"/>
    <mergeCell ref="A47:A53"/>
    <mergeCell ref="A55:A61"/>
    <mergeCell ref="A63:A76"/>
    <mergeCell ref="D63:H63"/>
    <mergeCell ref="I55:I58"/>
    <mergeCell ref="A1:H1"/>
    <mergeCell ref="A2:A18"/>
    <mergeCell ref="C4:D4"/>
    <mergeCell ref="D5:E5"/>
    <mergeCell ref="G5:H5"/>
    <mergeCell ref="G6:H6"/>
    <mergeCell ref="F8:H8"/>
  </mergeCells>
  <phoneticPr fontId="16" type="noConversion"/>
  <pageMargins left="0.69972223043441772" right="0.69972223043441772" top="0.75" bottom="0.75" header="0.30000001192092896" footer="0.30000001192092896"/>
  <pageSetup paperSize="9" scale="86" orientation="portrait" horizontalDpi="4294967293" verticalDpi="4294967293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L73"/>
  <sheetViews>
    <sheetView showGridLines="0" topLeftCell="A44" zoomScale="85" zoomScaleNormal="85" zoomScaleSheetLayoutView="100" workbookViewId="0">
      <selection activeCell="C50" sqref="C50"/>
    </sheetView>
  </sheetViews>
  <sheetFormatPr defaultColWidth="13.4140625" defaultRowHeight="16"/>
  <cols>
    <col min="1" max="1" width="4.9140625" style="1" customWidth="1"/>
    <col min="2" max="2" width="17" style="2" customWidth="1"/>
    <col min="3" max="3" width="23.25" style="3" customWidth="1"/>
    <col min="4" max="4" width="15.9140625" style="4" bestFit="1" customWidth="1"/>
    <col min="5" max="5" width="18.1640625" style="1" customWidth="1"/>
    <col min="6" max="6" width="13.5" style="1" bestFit="1" customWidth="1"/>
    <col min="7" max="7" width="14" style="1" bestFit="1" customWidth="1"/>
    <col min="8" max="8" width="16.1640625" style="1" bestFit="1" customWidth="1"/>
    <col min="9" max="9" width="26.33203125" style="1" bestFit="1" customWidth="1"/>
    <col min="10" max="16384" width="13.4140625" style="1"/>
  </cols>
  <sheetData>
    <row r="1" spans="1:8" ht="31.5" customHeight="1" thickBot="1">
      <c r="A1" s="913" t="s">
        <v>873</v>
      </c>
      <c r="B1" s="914"/>
      <c r="C1" s="914"/>
      <c r="D1" s="914"/>
      <c r="E1" s="914"/>
      <c r="F1" s="914"/>
      <c r="G1" s="914"/>
      <c r="H1" s="915"/>
    </row>
    <row r="2" spans="1:8">
      <c r="A2" s="875" t="s">
        <v>112</v>
      </c>
      <c r="B2" s="6" t="s">
        <v>420</v>
      </c>
      <c r="C2" s="7" t="s">
        <v>418</v>
      </c>
      <c r="D2" s="150"/>
      <c r="E2" s="9"/>
      <c r="F2" s="9"/>
      <c r="G2" s="9"/>
      <c r="H2" s="10"/>
    </row>
    <row r="3" spans="1:8">
      <c r="A3" s="876"/>
      <c r="B3" s="11" t="s">
        <v>471</v>
      </c>
      <c r="C3" s="856" t="s">
        <v>874</v>
      </c>
      <c r="D3" s="857"/>
      <c r="E3" s="14"/>
      <c r="F3" s="14"/>
      <c r="G3" s="14"/>
      <c r="H3" s="15"/>
    </row>
    <row r="4" spans="1:8">
      <c r="A4" s="876"/>
      <c r="B4" s="11" t="s">
        <v>407</v>
      </c>
      <c r="C4" s="856" t="s">
        <v>875</v>
      </c>
      <c r="D4" s="857"/>
      <c r="E4" s="14"/>
      <c r="F4" s="14"/>
      <c r="G4" s="14"/>
      <c r="H4" s="15"/>
    </row>
    <row r="5" spans="1:8">
      <c r="A5" s="827"/>
      <c r="B5" s="16" t="s">
        <v>99</v>
      </c>
      <c r="C5" s="151">
        <v>40255</v>
      </c>
      <c r="D5" s="858" t="s">
        <v>250</v>
      </c>
      <c r="E5" s="859"/>
      <c r="F5" s="250">
        <f>C5*0.3025/C7</f>
        <v>36.900416666666665</v>
      </c>
      <c r="G5" s="916" t="s">
        <v>522</v>
      </c>
      <c r="H5" s="917"/>
    </row>
    <row r="6" spans="1:8">
      <c r="A6" s="827"/>
      <c r="B6" s="16" t="s">
        <v>425</v>
      </c>
      <c r="C6" s="17">
        <v>6</v>
      </c>
      <c r="D6" s="18"/>
      <c r="E6" s="19"/>
      <c r="F6" s="19"/>
      <c r="G6" s="19"/>
      <c r="H6" s="20"/>
    </row>
    <row r="7" spans="1:8">
      <c r="A7" s="827"/>
      <c r="B7" s="16" t="s">
        <v>335</v>
      </c>
      <c r="C7" s="17">
        <v>330</v>
      </c>
      <c r="D7" s="21" t="s">
        <v>39</v>
      </c>
      <c r="E7" s="22">
        <f>C7/C9</f>
        <v>0.20702634880803011</v>
      </c>
      <c r="F7" s="18"/>
      <c r="G7" s="19"/>
      <c r="H7" s="20"/>
    </row>
    <row r="8" spans="1:8">
      <c r="A8" s="827"/>
      <c r="B8" s="16" t="s">
        <v>54</v>
      </c>
      <c r="C8" s="249">
        <f>C9-C7</f>
        <v>1264</v>
      </c>
      <c r="D8" s="21" t="s">
        <v>145</v>
      </c>
      <c r="E8" s="251">
        <f>C8/C9</f>
        <v>0.79297365119196994</v>
      </c>
      <c r="F8" s="863" t="s">
        <v>29</v>
      </c>
      <c r="G8" s="864"/>
      <c r="H8" s="865"/>
    </row>
    <row r="9" spans="1:8">
      <c r="A9" s="827"/>
      <c r="B9" s="16" t="s">
        <v>150</v>
      </c>
      <c r="C9" s="17">
        <v>1594</v>
      </c>
      <c r="D9" s="23"/>
      <c r="E9" s="19"/>
      <c r="F9" s="19"/>
      <c r="G9" s="19"/>
      <c r="H9" s="20"/>
    </row>
    <row r="10" spans="1:8">
      <c r="A10" s="827"/>
      <c r="B10" s="16" t="s">
        <v>427</v>
      </c>
      <c r="C10" s="24">
        <v>0.46589999999999998</v>
      </c>
      <c r="D10" s="25" t="s">
        <v>84</v>
      </c>
      <c r="E10" s="26">
        <v>11126.39</v>
      </c>
      <c r="F10" s="27" t="s">
        <v>41</v>
      </c>
      <c r="G10" s="28">
        <f>E11/E10</f>
        <v>25.532294841363644</v>
      </c>
      <c r="H10" s="29"/>
    </row>
    <row r="11" spans="1:8">
      <c r="A11" s="827"/>
      <c r="B11" s="16" t="s">
        <v>466</v>
      </c>
      <c r="C11" s="24">
        <v>8.5540000000000003</v>
      </c>
      <c r="D11" s="25" t="s">
        <v>91</v>
      </c>
      <c r="E11" s="30">
        <v>284082.27</v>
      </c>
      <c r="F11" s="27" t="s">
        <v>209</v>
      </c>
      <c r="G11" s="28">
        <f>E11*76%</f>
        <v>215902.5252</v>
      </c>
      <c r="H11" s="31"/>
    </row>
    <row r="12" spans="1:8">
      <c r="A12" s="827"/>
      <c r="B12" s="16" t="s">
        <v>208</v>
      </c>
      <c r="C12" s="152" t="s">
        <v>876</v>
      </c>
      <c r="D12" s="18"/>
      <c r="E12" s="19"/>
      <c r="F12" s="858" t="s">
        <v>234</v>
      </c>
      <c r="G12" s="859"/>
      <c r="H12" s="55">
        <f>G11/C35</f>
        <v>1.606704509733881</v>
      </c>
    </row>
    <row r="13" spans="1:8" ht="19.5" customHeight="1">
      <c r="A13" s="827"/>
      <c r="B13" s="16" t="s">
        <v>441</v>
      </c>
      <c r="C13" s="918" t="s">
        <v>1133</v>
      </c>
      <c r="D13" s="1037"/>
      <c r="E13" s="1038"/>
      <c r="F13" s="863" t="s">
        <v>392</v>
      </c>
      <c r="G13" s="864"/>
      <c r="H13" s="865"/>
    </row>
    <row r="14" spans="1:8" ht="16.5" thickBot="1">
      <c r="A14" s="827"/>
      <c r="B14" s="32" t="s">
        <v>87</v>
      </c>
      <c r="C14" s="152" t="s">
        <v>877</v>
      </c>
      <c r="D14" s="642"/>
      <c r="E14" s="19"/>
      <c r="F14" s="19"/>
      <c r="G14" s="19"/>
      <c r="H14" s="20"/>
    </row>
    <row r="15" spans="1:8" ht="15" customHeight="1" thickBot="1">
      <c r="A15" s="875"/>
      <c r="B15" s="844" t="s">
        <v>470</v>
      </c>
      <c r="C15" s="642"/>
      <c r="D15" s="154"/>
      <c r="E15" s="155"/>
      <c r="F15" s="155"/>
      <c r="G15" s="155"/>
      <c r="H15" s="156"/>
    </row>
    <row r="16" spans="1:8" ht="16.5" thickBot="1">
      <c r="A16" s="828"/>
      <c r="B16" s="844"/>
      <c r="C16" s="157"/>
      <c r="D16" s="36"/>
      <c r="E16" s="37"/>
      <c r="F16" s="37"/>
      <c r="G16" s="37"/>
      <c r="H16" s="38"/>
    </row>
    <row r="17" spans="1:8" ht="5.25" customHeight="1" thickBot="1">
      <c r="A17" s="39"/>
      <c r="B17" s="40"/>
      <c r="C17" s="41"/>
      <c r="D17" s="41"/>
      <c r="H17" s="42"/>
    </row>
    <row r="18" spans="1:8">
      <c r="A18" s="875" t="s">
        <v>49</v>
      </c>
      <c r="B18" s="43" t="s">
        <v>81</v>
      </c>
      <c r="C18" s="612" t="s">
        <v>878</v>
      </c>
      <c r="D18" s="45"/>
      <c r="E18" s="9"/>
      <c r="F18" s="9"/>
      <c r="G18" s="9"/>
      <c r="H18" s="10"/>
    </row>
    <row r="19" spans="1:8" ht="16.5" thickBot="1">
      <c r="A19" s="827"/>
      <c r="B19" s="25" t="s">
        <v>124</v>
      </c>
      <c r="C19" s="46" t="s">
        <v>879</v>
      </c>
      <c r="D19" s="47"/>
      <c r="E19" s="19"/>
      <c r="F19" s="19"/>
      <c r="G19" s="19"/>
      <c r="H19" s="20"/>
    </row>
    <row r="20" spans="1:8">
      <c r="A20" s="875"/>
      <c r="B20" s="25" t="s">
        <v>147</v>
      </c>
      <c r="C20" s="46" t="s">
        <v>880</v>
      </c>
      <c r="D20" s="47"/>
      <c r="E20" s="19"/>
      <c r="F20" s="19"/>
      <c r="G20" s="19"/>
      <c r="H20" s="20"/>
    </row>
    <row r="21" spans="1:8">
      <c r="A21" s="827"/>
      <c r="B21" s="25" t="s">
        <v>52</v>
      </c>
      <c r="C21" s="46" t="s">
        <v>621</v>
      </c>
      <c r="D21" s="47"/>
      <c r="E21" s="19"/>
      <c r="F21" s="19"/>
      <c r="G21" s="19"/>
      <c r="H21" s="20"/>
    </row>
    <row r="22" spans="1:8">
      <c r="A22" s="827"/>
      <c r="B22" s="25" t="s">
        <v>95</v>
      </c>
      <c r="C22" s="25" t="s">
        <v>727</v>
      </c>
      <c r="D22" s="23"/>
      <c r="E22" s="19"/>
      <c r="F22" s="19"/>
      <c r="G22" s="19"/>
      <c r="H22" s="20"/>
    </row>
    <row r="23" spans="1:8">
      <c r="A23" s="827"/>
      <c r="B23" s="25" t="s">
        <v>73</v>
      </c>
      <c r="C23" s="25" t="s">
        <v>620</v>
      </c>
      <c r="D23" s="23"/>
      <c r="E23" s="19"/>
      <c r="F23" s="19"/>
      <c r="G23" s="19"/>
      <c r="H23" s="20"/>
    </row>
    <row r="24" spans="1:8">
      <c r="A24" s="827"/>
      <c r="B24" s="25" t="s">
        <v>177</v>
      </c>
      <c r="C24" s="25" t="s">
        <v>659</v>
      </c>
      <c r="D24" s="23"/>
      <c r="E24" s="19"/>
      <c r="F24" s="19"/>
      <c r="G24" s="19"/>
      <c r="H24" s="20"/>
    </row>
    <row r="25" spans="1:8">
      <c r="A25" s="827"/>
      <c r="B25" s="25" t="s">
        <v>167</v>
      </c>
      <c r="C25" s="25" t="s">
        <v>744</v>
      </c>
      <c r="D25" s="23"/>
      <c r="E25" s="19"/>
      <c r="F25" s="19"/>
      <c r="G25" s="19"/>
      <c r="H25" s="20"/>
    </row>
    <row r="26" spans="1:8" ht="16.5" thickBot="1">
      <c r="A26" s="828"/>
      <c r="B26" s="643" t="s">
        <v>447</v>
      </c>
      <c r="C26" s="643" t="s">
        <v>802</v>
      </c>
      <c r="D26" s="48"/>
      <c r="E26" s="37"/>
      <c r="F26" s="37"/>
      <c r="G26" s="37"/>
      <c r="H26" s="38"/>
    </row>
    <row r="27" spans="1:8" ht="5.25" customHeight="1" thickBot="1">
      <c r="A27" s="39"/>
      <c r="B27" s="40"/>
      <c r="H27" s="42"/>
    </row>
    <row r="28" spans="1:8" s="5" customFormat="1" ht="13.5" customHeight="1">
      <c r="A28" s="875" t="s">
        <v>255</v>
      </c>
      <c r="B28" s="241" t="s">
        <v>101</v>
      </c>
      <c r="C28" s="242" t="s">
        <v>48</v>
      </c>
      <c r="D28" s="243" t="s">
        <v>125</v>
      </c>
      <c r="E28" s="243" t="s">
        <v>434</v>
      </c>
      <c r="F28" s="243" t="s">
        <v>414</v>
      </c>
      <c r="G28" s="369" t="s">
        <v>454</v>
      </c>
      <c r="H28" s="244" t="s">
        <v>470</v>
      </c>
    </row>
    <row r="29" spans="1:8">
      <c r="A29" s="827"/>
      <c r="B29" s="129" t="s">
        <v>881</v>
      </c>
      <c r="C29" s="53">
        <f>52*D29</f>
        <v>8840</v>
      </c>
      <c r="D29" s="17">
        <v>170</v>
      </c>
      <c r="E29" s="17"/>
      <c r="F29" s="17"/>
      <c r="G29" s="159">
        <f t="shared" ref="G29:G34" si="0">D29/$D$35</f>
        <v>0.10664993726474278</v>
      </c>
      <c r="H29" s="55" t="s">
        <v>882</v>
      </c>
    </row>
    <row r="30" spans="1:8">
      <c r="A30" s="827"/>
      <c r="B30" s="16" t="s">
        <v>883</v>
      </c>
      <c r="C30" s="53">
        <f>78*D30</f>
        <v>5304</v>
      </c>
      <c r="D30" s="17">
        <v>68</v>
      </c>
      <c r="E30" s="17"/>
      <c r="F30" s="160"/>
      <c r="G30" s="159">
        <f t="shared" si="0"/>
        <v>4.2659974905897118E-2</v>
      </c>
      <c r="H30" s="55" t="s">
        <v>882</v>
      </c>
    </row>
    <row r="31" spans="1:8">
      <c r="A31" s="827"/>
      <c r="B31" s="16" t="s">
        <v>884</v>
      </c>
      <c r="C31" s="53">
        <f>75*D31</f>
        <v>16950</v>
      </c>
      <c r="D31" s="17">
        <v>226</v>
      </c>
      <c r="E31" s="17"/>
      <c r="F31" s="160"/>
      <c r="G31" s="159">
        <f t="shared" si="0"/>
        <v>0.14178168130489335</v>
      </c>
      <c r="H31" s="55"/>
    </row>
    <row r="32" spans="1:8">
      <c r="A32" s="827"/>
      <c r="B32" s="16" t="s">
        <v>885</v>
      </c>
      <c r="C32" s="53">
        <f>75*D32</f>
        <v>16950</v>
      </c>
      <c r="D32" s="17">
        <v>226</v>
      </c>
      <c r="E32" s="17"/>
      <c r="F32" s="160"/>
      <c r="G32" s="159">
        <f t="shared" si="0"/>
        <v>0.14178168130489335</v>
      </c>
      <c r="H32" s="55"/>
    </row>
    <row r="33" spans="1:9" ht="16.5" thickBot="1">
      <c r="A33" s="827"/>
      <c r="B33" s="129" t="s">
        <v>886</v>
      </c>
      <c r="C33" s="53">
        <f>84*D33</f>
        <v>37968</v>
      </c>
      <c r="D33" s="17">
        <v>452</v>
      </c>
      <c r="E33" s="17"/>
      <c r="F33" s="160"/>
      <c r="G33" s="159">
        <f t="shared" si="0"/>
        <v>0.28356336260978671</v>
      </c>
      <c r="H33" s="55"/>
    </row>
    <row r="34" spans="1:9">
      <c r="A34" s="875"/>
      <c r="B34" s="129" t="s">
        <v>887</v>
      </c>
      <c r="C34" s="53">
        <f>107*D34</f>
        <v>48364</v>
      </c>
      <c r="D34" s="17">
        <v>452</v>
      </c>
      <c r="E34" s="17"/>
      <c r="F34" s="160"/>
      <c r="G34" s="159">
        <f t="shared" si="0"/>
        <v>0.28356336260978671</v>
      </c>
      <c r="H34" s="161"/>
    </row>
    <row r="35" spans="1:9" ht="16.5" thickBot="1">
      <c r="A35" s="828"/>
      <c r="B35" s="129" t="s">
        <v>462</v>
      </c>
      <c r="C35" s="57">
        <f>SUM(C29:C34)</f>
        <v>134376</v>
      </c>
      <c r="D35" s="57">
        <f>SUM(D29:D34)</f>
        <v>1594</v>
      </c>
      <c r="E35" s="57">
        <f>SUM(E30:E34)</f>
        <v>0</v>
      </c>
      <c r="F35" s="57">
        <f>SUM(F30:F34)</f>
        <v>0</v>
      </c>
      <c r="G35" s="135">
        <f>SUM(G29:G34)</f>
        <v>1</v>
      </c>
      <c r="H35" s="60"/>
    </row>
    <row r="36" spans="1:9" ht="4.5" customHeight="1" thickBot="1">
      <c r="A36" s="39"/>
      <c r="B36" s="40"/>
      <c r="H36" s="42"/>
    </row>
    <row r="37" spans="1:9" s="2" customFormat="1">
      <c r="A37" s="962" t="s">
        <v>393</v>
      </c>
      <c r="B37" s="241" t="s">
        <v>360</v>
      </c>
      <c r="C37" s="243" t="s">
        <v>904</v>
      </c>
      <c r="D37" s="243" t="s">
        <v>905</v>
      </c>
      <c r="E37" s="243" t="s">
        <v>43</v>
      </c>
      <c r="F37" s="243" t="s">
        <v>906</v>
      </c>
      <c r="G37" s="245" t="s">
        <v>172</v>
      </c>
      <c r="H37" s="246" t="s">
        <v>470</v>
      </c>
    </row>
    <row r="38" spans="1:9" ht="16.5" customHeight="1">
      <c r="A38" s="963"/>
      <c r="B38" s="129" t="s">
        <v>881</v>
      </c>
      <c r="C38" s="62"/>
      <c r="D38" s="63"/>
      <c r="E38" s="252">
        <f>(D38-C38)*25</f>
        <v>0</v>
      </c>
      <c r="F38" s="63"/>
      <c r="G38" s="252">
        <f>(F38-C38)*25</f>
        <v>0</v>
      </c>
      <c r="H38" s="31"/>
    </row>
    <row r="39" spans="1:9" ht="16.5" customHeight="1">
      <c r="A39" s="963"/>
      <c r="B39" s="16" t="s">
        <v>883</v>
      </c>
      <c r="C39" s="62"/>
      <c r="D39" s="63"/>
      <c r="E39" s="252">
        <f>(D39-C39)*25</f>
        <v>0</v>
      </c>
      <c r="F39" s="63"/>
      <c r="G39" s="252">
        <f>(F39-C39)*25</f>
        <v>0</v>
      </c>
      <c r="H39" s="31"/>
    </row>
    <row r="40" spans="1:9" ht="16.5" customHeight="1">
      <c r="A40" s="963"/>
      <c r="B40" s="16" t="s">
        <v>884</v>
      </c>
      <c r="C40" s="62"/>
      <c r="D40" s="63"/>
      <c r="E40" s="252">
        <f>(D40-C40)*25</f>
        <v>0</v>
      </c>
      <c r="F40" s="63"/>
      <c r="G40" s="252">
        <f>(F40-C40)*25</f>
        <v>0</v>
      </c>
      <c r="H40" s="31"/>
    </row>
    <row r="41" spans="1:9" ht="16.5" customHeight="1">
      <c r="A41" s="963"/>
      <c r="B41" s="16" t="s">
        <v>885</v>
      </c>
      <c r="C41" s="62"/>
      <c r="D41" s="63"/>
      <c r="E41" s="252">
        <f>(D41-C41)*30</f>
        <v>0</v>
      </c>
      <c r="F41" s="63"/>
      <c r="G41" s="252">
        <f>(F41-C41)*30</f>
        <v>0</v>
      </c>
      <c r="H41" s="31"/>
    </row>
    <row r="42" spans="1:9" ht="16.5" customHeight="1">
      <c r="A42" s="963"/>
      <c r="B42" s="129" t="s">
        <v>886</v>
      </c>
      <c r="C42" s="725">
        <f>F42*70%</f>
        <v>15413999.999999998</v>
      </c>
      <c r="D42" s="63">
        <f>F42-200</f>
        <v>22019800</v>
      </c>
      <c r="E42" s="252">
        <f>(D42-C42)*30</f>
        <v>198174000.00000006</v>
      </c>
      <c r="F42" s="723">
        <v>22020000</v>
      </c>
      <c r="G42" s="252">
        <f>(F42-C42)*30</f>
        <v>198180000.00000006</v>
      </c>
      <c r="H42" s="31" t="s">
        <v>1167</v>
      </c>
    </row>
    <row r="43" spans="1:9" ht="16.5" customHeight="1" thickBot="1">
      <c r="A43" s="964"/>
      <c r="B43" s="164" t="s">
        <v>887</v>
      </c>
      <c r="C43" s="64"/>
      <c r="D43" s="63"/>
      <c r="E43" s="644">
        <f>(D43-C43)*34</f>
        <v>0</v>
      </c>
      <c r="F43" s="65"/>
      <c r="G43" s="644">
        <f>(F43-C43)*34</f>
        <v>0</v>
      </c>
      <c r="H43" s="66"/>
    </row>
    <row r="44" spans="1:9" ht="3.75" customHeight="1" thickBot="1"/>
    <row r="45" spans="1:9" ht="58">
      <c r="A45" s="921" t="s">
        <v>286</v>
      </c>
      <c r="B45" s="243" t="s">
        <v>101</v>
      </c>
      <c r="C45" s="508" t="s">
        <v>1393</v>
      </c>
      <c r="D45" s="247" t="s">
        <v>247</v>
      </c>
      <c r="E45" s="247" t="s">
        <v>235</v>
      </c>
      <c r="F45" s="247" t="s">
        <v>222</v>
      </c>
      <c r="G45" s="247" t="s">
        <v>367</v>
      </c>
      <c r="H45" s="243" t="s">
        <v>1136</v>
      </c>
      <c r="I45" s="824" t="s">
        <v>1206</v>
      </c>
    </row>
    <row r="46" spans="1:9">
      <c r="A46" s="922"/>
      <c r="B46" s="213" t="s">
        <v>881</v>
      </c>
      <c r="C46" s="62"/>
      <c r="D46" s="63">
        <f t="shared" ref="D46:D51" si="1">E38</f>
        <v>0</v>
      </c>
      <c r="E46" s="252">
        <f t="shared" ref="E46:E51" si="2">D46-C46</f>
        <v>0</v>
      </c>
      <c r="F46" s="63">
        <f t="shared" ref="F46:F51" si="3">G38</f>
        <v>0</v>
      </c>
      <c r="G46" s="252">
        <f t="shared" ref="G46:G51" si="4">F46-C46</f>
        <v>0</v>
      </c>
      <c r="H46" s="54"/>
      <c r="I46" s="825"/>
    </row>
    <row r="47" spans="1:9">
      <c r="A47" s="922"/>
      <c r="B47" s="25" t="s">
        <v>883</v>
      </c>
      <c r="C47" s="62"/>
      <c r="D47" s="63">
        <f t="shared" si="1"/>
        <v>0</v>
      </c>
      <c r="E47" s="252">
        <f t="shared" si="2"/>
        <v>0</v>
      </c>
      <c r="F47" s="63">
        <f t="shared" si="3"/>
        <v>0</v>
      </c>
      <c r="G47" s="252">
        <f t="shared" si="4"/>
        <v>0</v>
      </c>
      <c r="H47" s="54"/>
      <c r="I47" s="825"/>
    </row>
    <row r="48" spans="1:9">
      <c r="A48" s="922"/>
      <c r="B48" s="25" t="s">
        <v>884</v>
      </c>
      <c r="C48" s="62"/>
      <c r="D48" s="63">
        <f t="shared" si="1"/>
        <v>0</v>
      </c>
      <c r="E48" s="252">
        <f t="shared" si="2"/>
        <v>0</v>
      </c>
      <c r="F48" s="63">
        <f t="shared" si="3"/>
        <v>0</v>
      </c>
      <c r="G48" s="252">
        <f t="shared" si="4"/>
        <v>0</v>
      </c>
      <c r="H48" s="54"/>
      <c r="I48" s="825"/>
    </row>
    <row r="49" spans="1:12">
      <c r="A49" s="922"/>
      <c r="B49" s="25" t="s">
        <v>885</v>
      </c>
      <c r="C49" s="62"/>
      <c r="D49" s="63">
        <f t="shared" si="1"/>
        <v>0</v>
      </c>
      <c r="E49" s="252">
        <f t="shared" si="2"/>
        <v>0</v>
      </c>
      <c r="F49" s="63">
        <f t="shared" si="3"/>
        <v>0</v>
      </c>
      <c r="G49" s="252">
        <f t="shared" si="4"/>
        <v>0</v>
      </c>
      <c r="H49" s="54"/>
      <c r="I49" s="825"/>
    </row>
    <row r="50" spans="1:12" ht="17">
      <c r="A50" s="922"/>
      <c r="B50" s="213" t="s">
        <v>886</v>
      </c>
      <c r="C50" s="62">
        <v>350000000</v>
      </c>
      <c r="D50" s="63">
        <f t="shared" si="1"/>
        <v>198174000.00000006</v>
      </c>
      <c r="E50" s="252">
        <f t="shared" si="2"/>
        <v>-151825999.99999994</v>
      </c>
      <c r="F50" s="63">
        <f t="shared" si="3"/>
        <v>198180000.00000006</v>
      </c>
      <c r="G50" s="252">
        <f t="shared" si="4"/>
        <v>-151819999.99999994</v>
      </c>
      <c r="H50" s="62">
        <f>(C50+(C42*34))/34</f>
        <v>25708117.647058822</v>
      </c>
      <c r="I50" s="751">
        <f>H50/F42</f>
        <v>1.1674894480953144</v>
      </c>
    </row>
    <row r="51" spans="1:12" ht="16.5" thickBot="1">
      <c r="A51" s="923"/>
      <c r="B51" s="175" t="s">
        <v>887</v>
      </c>
      <c r="C51" s="64"/>
      <c r="D51" s="65">
        <f t="shared" si="1"/>
        <v>0</v>
      </c>
      <c r="E51" s="644">
        <f t="shared" si="2"/>
        <v>0</v>
      </c>
      <c r="F51" s="65">
        <f t="shared" si="3"/>
        <v>0</v>
      </c>
      <c r="G51" s="644">
        <f t="shared" si="4"/>
        <v>0</v>
      </c>
      <c r="H51" s="619"/>
      <c r="I51" s="66"/>
    </row>
    <row r="52" spans="1:12" ht="4.5" customHeight="1" thickBot="1"/>
    <row r="53" spans="1:12">
      <c r="A53" s="833" t="s">
        <v>598</v>
      </c>
      <c r="B53" s="243" t="s">
        <v>599</v>
      </c>
      <c r="C53" s="242" t="s">
        <v>857</v>
      </c>
      <c r="D53" s="815" t="s">
        <v>600</v>
      </c>
      <c r="E53" s="816"/>
      <c r="F53" s="816"/>
      <c r="G53" s="816"/>
      <c r="H53" s="817"/>
      <c r="J53" s="5"/>
      <c r="K53" s="5"/>
      <c r="L53" s="5"/>
    </row>
    <row r="54" spans="1:12" ht="17">
      <c r="A54" s="834"/>
      <c r="B54" s="165" t="s">
        <v>601</v>
      </c>
      <c r="C54" s="627">
        <v>2000</v>
      </c>
      <c r="D54" s="491"/>
      <c r="H54" s="42"/>
      <c r="J54" s="509"/>
      <c r="K54" s="509"/>
      <c r="L54" s="509"/>
    </row>
    <row r="55" spans="1:12" ht="15.5" customHeight="1">
      <c r="A55" s="834"/>
      <c r="B55" s="165" t="s">
        <v>602</v>
      </c>
      <c r="C55" s="708">
        <v>2600</v>
      </c>
      <c r="D55" s="492"/>
      <c r="H55" s="42"/>
      <c r="J55" s="509"/>
      <c r="K55" s="509"/>
      <c r="L55" s="509"/>
    </row>
    <row r="56" spans="1:12">
      <c r="A56" s="834"/>
      <c r="B56" s="165" t="s">
        <v>603</v>
      </c>
      <c r="C56" s="626">
        <v>2600</v>
      </c>
      <c r="D56" s="492"/>
      <c r="H56" s="42"/>
    </row>
    <row r="57" spans="1:12">
      <c r="A57" s="835"/>
      <c r="B57" s="165" t="s">
        <v>604</v>
      </c>
      <c r="C57" s="627">
        <v>2571</v>
      </c>
      <c r="D57" s="492"/>
      <c r="H57" s="42"/>
    </row>
    <row r="58" spans="1:12">
      <c r="A58" s="835"/>
      <c r="B58" s="165" t="s">
        <v>1140</v>
      </c>
      <c r="C58" s="627">
        <f>H50/10000</f>
        <v>2570.8117647058821</v>
      </c>
      <c r="D58" s="492"/>
      <c r="H58" s="42"/>
    </row>
    <row r="59" spans="1:12">
      <c r="A59" s="835"/>
      <c r="B59" s="165" t="s">
        <v>1168</v>
      </c>
      <c r="C59" s="627"/>
      <c r="D59" s="492"/>
      <c r="H59" s="42"/>
    </row>
    <row r="60" spans="1:12">
      <c r="A60" s="835"/>
      <c r="B60" s="165" t="s">
        <v>1169</v>
      </c>
      <c r="C60" s="627"/>
      <c r="D60" s="492"/>
      <c r="H60" s="42"/>
    </row>
    <row r="61" spans="1:12">
      <c r="A61" s="835"/>
      <c r="B61" s="165" t="s">
        <v>1170</v>
      </c>
      <c r="C61" s="627"/>
      <c r="D61" s="492"/>
      <c r="H61" s="42"/>
    </row>
    <row r="62" spans="1:12">
      <c r="A62" s="835"/>
      <c r="B62" s="165" t="s">
        <v>1171</v>
      </c>
      <c r="C62" s="627"/>
      <c r="D62" s="492"/>
      <c r="H62" s="42"/>
    </row>
    <row r="63" spans="1:12">
      <c r="A63" s="835"/>
      <c r="B63" s="165" t="s">
        <v>1172</v>
      </c>
      <c r="C63" s="627"/>
      <c r="D63" s="492"/>
      <c r="H63" s="42"/>
    </row>
    <row r="64" spans="1:12">
      <c r="A64" s="835"/>
      <c r="B64" s="165" t="s">
        <v>1173</v>
      </c>
      <c r="C64" s="627"/>
      <c r="D64" s="492"/>
      <c r="H64" s="42"/>
    </row>
    <row r="65" spans="1:8">
      <c r="A65" s="835"/>
      <c r="B65" s="165" t="s">
        <v>1174</v>
      </c>
      <c r="C65" s="627"/>
      <c r="D65" s="492"/>
      <c r="H65" s="42"/>
    </row>
    <row r="66" spans="1:8" ht="17.5" thickBot="1">
      <c r="A66" s="836"/>
      <c r="B66" s="490" t="s">
        <v>1106</v>
      </c>
      <c r="C66" s="628"/>
      <c r="D66" s="493"/>
      <c r="E66" s="486"/>
      <c r="F66" s="486"/>
      <c r="G66" s="486"/>
      <c r="H66" s="487"/>
    </row>
    <row r="67" spans="1:8">
      <c r="A67" s="826" t="s">
        <v>650</v>
      </c>
      <c r="B67" s="564" t="s">
        <v>888</v>
      </c>
      <c r="C67" s="565"/>
      <c r="D67" s="566"/>
      <c r="E67" s="559"/>
      <c r="F67" s="559"/>
      <c r="G67" s="559"/>
      <c r="H67" s="567"/>
    </row>
    <row r="68" spans="1:8">
      <c r="A68" s="827"/>
      <c r="B68" s="206" t="s">
        <v>889</v>
      </c>
      <c r="C68" s="78"/>
      <c r="D68" s="79"/>
      <c r="E68" s="76"/>
      <c r="F68" s="76"/>
      <c r="G68" s="76"/>
      <c r="H68" s="114"/>
    </row>
    <row r="69" spans="1:8">
      <c r="A69" s="827"/>
      <c r="B69" s="206" t="s">
        <v>890</v>
      </c>
      <c r="C69" s="78"/>
      <c r="D69" s="79"/>
      <c r="E69" s="76"/>
      <c r="F69" s="76"/>
      <c r="G69" s="76"/>
      <c r="H69" s="114"/>
    </row>
    <row r="70" spans="1:8">
      <c r="A70" s="827"/>
      <c r="B70" s="206" t="s">
        <v>891</v>
      </c>
      <c r="C70" s="78"/>
      <c r="D70" s="79"/>
      <c r="E70" s="76"/>
      <c r="F70" s="76"/>
      <c r="G70" s="76"/>
      <c r="H70" s="114"/>
    </row>
    <row r="71" spans="1:8">
      <c r="A71" s="827"/>
      <c r="B71" s="206" t="s">
        <v>892</v>
      </c>
      <c r="C71" s="78"/>
      <c r="D71" s="79"/>
      <c r="E71" s="76"/>
      <c r="F71" s="76"/>
      <c r="G71" s="76"/>
      <c r="H71" s="114"/>
    </row>
    <row r="72" spans="1:8">
      <c r="A72" s="827"/>
      <c r="B72" s="206" t="s">
        <v>894</v>
      </c>
      <c r="C72" s="78"/>
      <c r="D72" s="79"/>
      <c r="E72" s="76"/>
      <c r="F72" s="76"/>
      <c r="G72" s="76"/>
      <c r="H72" s="114"/>
    </row>
    <row r="73" spans="1:8" ht="16.5" thickBot="1">
      <c r="A73" s="828"/>
      <c r="B73" s="568" t="s">
        <v>893</v>
      </c>
      <c r="C73" s="569"/>
      <c r="D73" s="570"/>
      <c r="E73" s="571"/>
      <c r="F73" s="571"/>
      <c r="G73" s="571"/>
      <c r="H73" s="572"/>
    </row>
  </sheetData>
  <mergeCells count="19">
    <mergeCell ref="D53:H53"/>
    <mergeCell ref="A67:A73"/>
    <mergeCell ref="B15:B16"/>
    <mergeCell ref="A18:A26"/>
    <mergeCell ref="A28:A35"/>
    <mergeCell ref="A37:A43"/>
    <mergeCell ref="A45:A51"/>
    <mergeCell ref="A53:A66"/>
    <mergeCell ref="I45:I49"/>
    <mergeCell ref="A1:H1"/>
    <mergeCell ref="A2:A16"/>
    <mergeCell ref="C3:D3"/>
    <mergeCell ref="C4:D4"/>
    <mergeCell ref="D5:E5"/>
    <mergeCell ref="G5:H5"/>
    <mergeCell ref="F8:H8"/>
    <mergeCell ref="F12:G12"/>
    <mergeCell ref="C13:E13"/>
    <mergeCell ref="F13:H13"/>
  </mergeCells>
  <phoneticPr fontId="16" type="noConversion"/>
  <pageMargins left="0.69972223043441772" right="0.69972223043441772" top="0.75" bottom="0.75" header="0.30000001192092896" footer="0.30000001192092896"/>
  <pageSetup paperSize="9" scale="77" orientation="portrait" horizontalDpi="4294967293" verticalDpi="4294967293" r:id="rId1"/>
  <rowBreaks count="1" manualBreakCount="1">
    <brk id="60" max="1048575" man="1"/>
  </rowBreaks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L79"/>
  <sheetViews>
    <sheetView showGridLines="0" topLeftCell="A51" zoomScale="85" zoomScaleNormal="85" zoomScaleSheetLayoutView="100" workbookViewId="0">
      <selection activeCell="I63" sqref="I63"/>
    </sheetView>
  </sheetViews>
  <sheetFormatPr defaultColWidth="13.4140625" defaultRowHeight="16"/>
  <cols>
    <col min="1" max="1" width="4.9140625" style="1" customWidth="1"/>
    <col min="2" max="2" width="17" style="2" customWidth="1"/>
    <col min="3" max="3" width="25.83203125" style="3" customWidth="1"/>
    <col min="4" max="4" width="15.9140625" style="4" bestFit="1" customWidth="1"/>
    <col min="5" max="5" width="18.1640625" style="1" customWidth="1"/>
    <col min="6" max="6" width="13.5" style="1" bestFit="1" customWidth="1"/>
    <col min="7" max="7" width="14" style="1" bestFit="1" customWidth="1"/>
    <col min="8" max="8" width="16.1640625" style="1" bestFit="1" customWidth="1"/>
    <col min="9" max="9" width="26.33203125" style="1" bestFit="1" customWidth="1"/>
    <col min="10" max="16384" width="13.4140625" style="1"/>
  </cols>
  <sheetData>
    <row r="1" spans="1:8" ht="31.5" customHeight="1" thickBot="1">
      <c r="A1" s="913" t="s">
        <v>1286</v>
      </c>
      <c r="B1" s="914"/>
      <c r="C1" s="914"/>
      <c r="D1" s="914"/>
      <c r="E1" s="914"/>
      <c r="F1" s="914"/>
      <c r="G1" s="914"/>
      <c r="H1" s="915"/>
    </row>
    <row r="2" spans="1:8">
      <c r="A2" s="875" t="s">
        <v>112</v>
      </c>
      <c r="B2" s="6" t="s">
        <v>420</v>
      </c>
      <c r="C2" s="7" t="s">
        <v>418</v>
      </c>
      <c r="D2" s="150"/>
      <c r="E2" s="9"/>
      <c r="F2" s="9"/>
      <c r="G2" s="9"/>
      <c r="H2" s="10"/>
    </row>
    <row r="3" spans="1:8">
      <c r="A3" s="876"/>
      <c r="B3" s="11" t="s">
        <v>471</v>
      </c>
      <c r="C3" s="856" t="s">
        <v>1287</v>
      </c>
      <c r="D3" s="857"/>
      <c r="E3" s="14"/>
      <c r="F3" s="14"/>
      <c r="G3" s="14"/>
      <c r="H3" s="15"/>
    </row>
    <row r="4" spans="1:8">
      <c r="A4" s="876"/>
      <c r="B4" s="11" t="s">
        <v>407</v>
      </c>
      <c r="C4" s="856" t="s">
        <v>1288</v>
      </c>
      <c r="D4" s="857"/>
      <c r="E4" s="14"/>
      <c r="F4" s="14"/>
      <c r="G4" s="14"/>
      <c r="H4" s="15"/>
    </row>
    <row r="5" spans="1:8">
      <c r="A5" s="827"/>
      <c r="B5" s="16" t="s">
        <v>99</v>
      </c>
      <c r="C5" s="151">
        <v>135079</v>
      </c>
      <c r="D5" s="858" t="s">
        <v>250</v>
      </c>
      <c r="E5" s="859"/>
      <c r="F5" s="250">
        <f>C5*0.3025/C7</f>
        <v>51.076746874999998</v>
      </c>
      <c r="G5" s="916" t="s">
        <v>522</v>
      </c>
      <c r="H5" s="917"/>
    </row>
    <row r="6" spans="1:8">
      <c r="A6" s="827"/>
      <c r="B6" s="16" t="s">
        <v>425</v>
      </c>
      <c r="C6" s="17">
        <v>22</v>
      </c>
      <c r="D6" s="18"/>
      <c r="E6" s="19"/>
      <c r="F6" s="19"/>
      <c r="G6" s="19"/>
      <c r="H6" s="20"/>
    </row>
    <row r="7" spans="1:8">
      <c r="A7" s="827"/>
      <c r="B7" s="16" t="s">
        <v>335</v>
      </c>
      <c r="C7" s="17">
        <v>800</v>
      </c>
      <c r="D7" s="21" t="s">
        <v>39</v>
      </c>
      <c r="E7" s="22">
        <f>C7/C9</f>
        <v>0.28776978417266186</v>
      </c>
      <c r="F7" s="18"/>
      <c r="G7" s="19"/>
      <c r="H7" s="20"/>
    </row>
    <row r="8" spans="1:8">
      <c r="A8" s="827"/>
      <c r="B8" s="16" t="s">
        <v>54</v>
      </c>
      <c r="C8" s="249">
        <f>C9-C7</f>
        <v>1980</v>
      </c>
      <c r="D8" s="21" t="s">
        <v>145</v>
      </c>
      <c r="E8" s="251">
        <f>C8/C9</f>
        <v>0.71223021582733814</v>
      </c>
      <c r="F8" s="863" t="s">
        <v>29</v>
      </c>
      <c r="G8" s="864"/>
      <c r="H8" s="865"/>
    </row>
    <row r="9" spans="1:8">
      <c r="A9" s="827"/>
      <c r="B9" s="16" t="s">
        <v>150</v>
      </c>
      <c r="C9" s="17">
        <v>2780</v>
      </c>
      <c r="D9" s="23"/>
      <c r="E9" s="19"/>
      <c r="F9" s="19"/>
      <c r="G9" s="19"/>
      <c r="H9" s="20"/>
    </row>
    <row r="10" spans="1:8">
      <c r="A10" s="827"/>
      <c r="B10" s="16" t="s">
        <v>427</v>
      </c>
      <c r="C10" s="24">
        <v>0.14829999999999999</v>
      </c>
      <c r="D10" s="25" t="s">
        <v>84</v>
      </c>
      <c r="E10" s="26">
        <v>11126.39</v>
      </c>
      <c r="F10" s="27" t="s">
        <v>41</v>
      </c>
      <c r="G10" s="28">
        <f>E11/E10</f>
        <v>25.532294841363644</v>
      </c>
      <c r="H10" s="29"/>
    </row>
    <row r="11" spans="1:8">
      <c r="A11" s="827"/>
      <c r="B11" s="16" t="s">
        <v>466</v>
      </c>
      <c r="C11" s="24">
        <v>2.7267999999999999</v>
      </c>
      <c r="D11" s="25" t="s">
        <v>91</v>
      </c>
      <c r="E11" s="30">
        <v>284082.27</v>
      </c>
      <c r="F11" s="27" t="s">
        <v>209</v>
      </c>
      <c r="G11" s="28">
        <f>E11*76%</f>
        <v>215902.5252</v>
      </c>
      <c r="H11" s="31"/>
    </row>
    <row r="12" spans="1:8">
      <c r="A12" s="827"/>
      <c r="B12" s="16" t="s">
        <v>208</v>
      </c>
      <c r="C12" s="152" t="s">
        <v>1289</v>
      </c>
      <c r="D12" s="18"/>
      <c r="E12" s="19"/>
      <c r="F12" s="858" t="s">
        <v>234</v>
      </c>
      <c r="G12" s="859"/>
      <c r="H12" s="55">
        <f>G11/C37</f>
        <v>1.0077459949683303</v>
      </c>
    </row>
    <row r="13" spans="1:8" ht="19.5" customHeight="1">
      <c r="A13" s="827"/>
      <c r="B13" s="16" t="s">
        <v>441</v>
      </c>
      <c r="C13" s="918" t="s">
        <v>1290</v>
      </c>
      <c r="D13" s="1037"/>
      <c r="E13" s="1038"/>
      <c r="F13" s="863" t="s">
        <v>392</v>
      </c>
      <c r="G13" s="864"/>
      <c r="H13" s="865"/>
    </row>
    <row r="14" spans="1:8" ht="16.5" thickBot="1">
      <c r="A14" s="827"/>
      <c r="B14" s="32" t="s">
        <v>87</v>
      </c>
      <c r="C14" s="152" t="s">
        <v>1291</v>
      </c>
      <c r="D14" s="715"/>
      <c r="E14" s="19"/>
      <c r="F14" s="19"/>
      <c r="G14" s="19"/>
      <c r="H14" s="20"/>
    </row>
    <row r="15" spans="1:8" ht="15" customHeight="1" thickBot="1">
      <c r="A15" s="875"/>
      <c r="B15" s="844" t="s">
        <v>470</v>
      </c>
      <c r="C15" s="715"/>
      <c r="D15" s="154"/>
      <c r="E15" s="155"/>
      <c r="F15" s="155"/>
      <c r="G15" s="155"/>
      <c r="H15" s="156"/>
    </row>
    <row r="16" spans="1:8" ht="16.5" thickBot="1">
      <c r="A16" s="828"/>
      <c r="B16" s="844"/>
      <c r="C16" s="157"/>
      <c r="D16" s="36"/>
      <c r="E16" s="37"/>
      <c r="F16" s="37"/>
      <c r="G16" s="37"/>
      <c r="H16" s="38"/>
    </row>
    <row r="17" spans="1:8" ht="5.25" customHeight="1" thickBot="1">
      <c r="A17" s="39"/>
      <c r="B17" s="40"/>
      <c r="C17" s="41"/>
      <c r="D17" s="41"/>
      <c r="H17" s="42"/>
    </row>
    <row r="18" spans="1:8">
      <c r="A18" s="875" t="s">
        <v>49</v>
      </c>
      <c r="B18" s="43" t="s">
        <v>81</v>
      </c>
      <c r="C18" s="612" t="s">
        <v>1292</v>
      </c>
      <c r="D18" s="45"/>
      <c r="E18" s="9"/>
      <c r="F18" s="9"/>
      <c r="G18" s="9"/>
      <c r="H18" s="10"/>
    </row>
    <row r="19" spans="1:8" ht="16.5" thickBot="1">
      <c r="A19" s="827"/>
      <c r="B19" s="25" t="s">
        <v>124</v>
      </c>
      <c r="C19" s="46" t="s">
        <v>1293</v>
      </c>
      <c r="D19" s="47"/>
      <c r="E19" s="19"/>
      <c r="F19" s="19"/>
      <c r="G19" s="19"/>
      <c r="H19" s="20"/>
    </row>
    <row r="20" spans="1:8">
      <c r="A20" s="875"/>
      <c r="B20" s="25" t="s">
        <v>147</v>
      </c>
      <c r="C20" s="46" t="s">
        <v>1294</v>
      </c>
      <c r="D20" s="47"/>
      <c r="E20" s="19"/>
      <c r="F20" s="19"/>
      <c r="G20" s="19"/>
      <c r="H20" s="20"/>
    </row>
    <row r="21" spans="1:8">
      <c r="A21" s="827"/>
      <c r="B21" s="25" t="s">
        <v>95</v>
      </c>
      <c r="C21" s="25" t="s">
        <v>1295</v>
      </c>
      <c r="D21" s="47"/>
      <c r="E21" s="19"/>
      <c r="F21" s="19"/>
      <c r="G21" s="19"/>
      <c r="H21" s="20"/>
    </row>
    <row r="22" spans="1:8">
      <c r="A22" s="827"/>
      <c r="B22" s="25"/>
      <c r="C22" s="25" t="s">
        <v>1296</v>
      </c>
      <c r="D22" s="23"/>
      <c r="E22" s="19"/>
      <c r="F22" s="19"/>
      <c r="G22" s="19"/>
      <c r="H22" s="20"/>
    </row>
    <row r="23" spans="1:8">
      <c r="A23" s="827"/>
      <c r="B23" s="25" t="s">
        <v>73</v>
      </c>
      <c r="C23" s="25" t="s">
        <v>1291</v>
      </c>
      <c r="D23" s="23"/>
      <c r="E23" s="19"/>
      <c r="F23" s="19"/>
      <c r="G23" s="19"/>
      <c r="H23" s="20"/>
    </row>
    <row r="24" spans="1:8">
      <c r="A24" s="827"/>
      <c r="B24" s="25" t="s">
        <v>177</v>
      </c>
      <c r="C24" s="25" t="s">
        <v>1291</v>
      </c>
      <c r="D24" s="23"/>
      <c r="E24" s="19"/>
      <c r="F24" s="19"/>
      <c r="G24" s="19"/>
      <c r="H24" s="20"/>
    </row>
    <row r="25" spans="1:8">
      <c r="A25" s="827"/>
      <c r="B25" s="25" t="s">
        <v>167</v>
      </c>
      <c r="C25" s="25" t="s">
        <v>1291</v>
      </c>
      <c r="D25" s="23"/>
      <c r="E25" s="19"/>
      <c r="F25" s="19"/>
      <c r="G25" s="19"/>
      <c r="H25" s="20"/>
    </row>
    <row r="26" spans="1:8" ht="16.5" thickBot="1">
      <c r="A26" s="828"/>
      <c r="B26" s="716" t="s">
        <v>447</v>
      </c>
      <c r="C26" s="716" t="s">
        <v>1291</v>
      </c>
      <c r="D26" s="48"/>
      <c r="E26" s="37"/>
      <c r="F26" s="37"/>
      <c r="G26" s="37"/>
      <c r="H26" s="38"/>
    </row>
    <row r="27" spans="1:8" ht="5.25" customHeight="1" thickBot="1">
      <c r="A27" s="39"/>
      <c r="B27" s="40"/>
      <c r="H27" s="42"/>
    </row>
    <row r="28" spans="1:8" s="5" customFormat="1" ht="13.5" customHeight="1">
      <c r="A28" s="875" t="s">
        <v>255</v>
      </c>
      <c r="B28" s="241" t="s">
        <v>101</v>
      </c>
      <c r="C28" s="242" t="s">
        <v>48</v>
      </c>
      <c r="D28" s="243" t="s">
        <v>125</v>
      </c>
      <c r="E28" s="243" t="s">
        <v>434</v>
      </c>
      <c r="F28" s="243" t="s">
        <v>414</v>
      </c>
      <c r="G28" s="369" t="s">
        <v>454</v>
      </c>
      <c r="H28" s="244" t="s">
        <v>470</v>
      </c>
    </row>
    <row r="29" spans="1:8">
      <c r="A29" s="827"/>
      <c r="B29" s="129" t="s">
        <v>1297</v>
      </c>
      <c r="C29" s="53">
        <f>39*D29</f>
        <v>5460</v>
      </c>
      <c r="D29" s="17">
        <v>140</v>
      </c>
      <c r="E29" s="17"/>
      <c r="F29" s="17"/>
      <c r="G29" s="159">
        <f t="shared" ref="G29:G36" si="0">D29/$D$37</f>
        <v>5.0359712230215826E-2</v>
      </c>
      <c r="H29" s="55" t="s">
        <v>1305</v>
      </c>
    </row>
    <row r="30" spans="1:8">
      <c r="A30" s="827"/>
      <c r="B30" s="16" t="s">
        <v>1298</v>
      </c>
      <c r="C30" s="53">
        <f>59*D30</f>
        <v>39943</v>
      </c>
      <c r="D30" s="17">
        <v>677</v>
      </c>
      <c r="E30" s="17"/>
      <c r="F30" s="160"/>
      <c r="G30" s="159">
        <f t="shared" si="0"/>
        <v>0.2435251798561151</v>
      </c>
      <c r="H30" s="55"/>
    </row>
    <row r="31" spans="1:8">
      <c r="A31" s="827"/>
      <c r="B31" s="16" t="s">
        <v>1299</v>
      </c>
      <c r="C31" s="53">
        <f>74*D31</f>
        <v>17094</v>
      </c>
      <c r="D31" s="17">
        <v>231</v>
      </c>
      <c r="E31" s="17"/>
      <c r="F31" s="160"/>
      <c r="G31" s="159">
        <f t="shared" si="0"/>
        <v>8.3093525179856118E-2</v>
      </c>
      <c r="H31" s="55"/>
    </row>
    <row r="32" spans="1:8">
      <c r="A32" s="827"/>
      <c r="B32" s="16" t="s">
        <v>1300</v>
      </c>
      <c r="C32" s="53">
        <f>84*D32</f>
        <v>78624</v>
      </c>
      <c r="D32" s="17">
        <v>936</v>
      </c>
      <c r="E32" s="17"/>
      <c r="F32" s="160"/>
      <c r="G32" s="159">
        <f t="shared" si="0"/>
        <v>0.33669064748201438</v>
      </c>
      <c r="H32" s="55"/>
    </row>
    <row r="33" spans="1:8">
      <c r="A33" s="827"/>
      <c r="B33" s="16" t="s">
        <v>1301</v>
      </c>
      <c r="C33" s="53">
        <f>84*D33</f>
        <v>10080</v>
      </c>
      <c r="D33" s="17">
        <v>120</v>
      </c>
      <c r="E33" s="17"/>
      <c r="F33" s="160"/>
      <c r="G33" s="159">
        <f t="shared" si="0"/>
        <v>4.3165467625899283E-2</v>
      </c>
      <c r="H33" s="55"/>
    </row>
    <row r="34" spans="1:8">
      <c r="A34" s="827"/>
      <c r="B34" s="16" t="s">
        <v>1302</v>
      </c>
      <c r="C34" s="53">
        <f>84*D34</f>
        <v>30912</v>
      </c>
      <c r="D34" s="17">
        <v>368</v>
      </c>
      <c r="E34" s="17"/>
      <c r="F34" s="160"/>
      <c r="G34" s="159">
        <f t="shared" si="0"/>
        <v>0.13237410071942446</v>
      </c>
      <c r="H34" s="55"/>
    </row>
    <row r="35" spans="1:8" ht="16.5" thickBot="1">
      <c r="A35" s="827"/>
      <c r="B35" s="129" t="s">
        <v>1303</v>
      </c>
      <c r="C35" s="53">
        <f>99*D35</f>
        <v>18018</v>
      </c>
      <c r="D35" s="17">
        <v>182</v>
      </c>
      <c r="E35" s="17"/>
      <c r="F35" s="160"/>
      <c r="G35" s="159">
        <f t="shared" si="0"/>
        <v>6.5467625899280582E-2</v>
      </c>
      <c r="H35" s="161"/>
    </row>
    <row r="36" spans="1:8">
      <c r="A36" s="875"/>
      <c r="B36" s="129" t="s">
        <v>1304</v>
      </c>
      <c r="C36" s="53">
        <f>112*D36</f>
        <v>14112</v>
      </c>
      <c r="D36" s="17">
        <v>126</v>
      </c>
      <c r="E36" s="17"/>
      <c r="F36" s="160"/>
      <c r="G36" s="159">
        <f t="shared" si="0"/>
        <v>4.5323741007194246E-2</v>
      </c>
      <c r="H36" s="161"/>
    </row>
    <row r="37" spans="1:8" ht="16.5" thickBot="1">
      <c r="A37" s="828"/>
      <c r="B37" s="129" t="s">
        <v>462</v>
      </c>
      <c r="C37" s="57">
        <f>SUM(C29:C36)</f>
        <v>214243</v>
      </c>
      <c r="D37" s="57">
        <f>SUM(D29:D36)</f>
        <v>2780</v>
      </c>
      <c r="E37" s="57">
        <f>SUM(E31:E36)</f>
        <v>0</v>
      </c>
      <c r="F37" s="57">
        <f>SUM(F31:F36)</f>
        <v>0</v>
      </c>
      <c r="G37" s="135">
        <f>SUM(G29:G36)</f>
        <v>1</v>
      </c>
      <c r="H37" s="60"/>
    </row>
    <row r="38" spans="1:8" ht="4.5" customHeight="1" thickBot="1">
      <c r="A38" s="39"/>
      <c r="B38" s="40"/>
      <c r="H38" s="42"/>
    </row>
    <row r="39" spans="1:8" s="2" customFormat="1">
      <c r="A39" s="962" t="s">
        <v>393</v>
      </c>
      <c r="B39" s="241" t="s">
        <v>360</v>
      </c>
      <c r="C39" s="243" t="s">
        <v>839</v>
      </c>
      <c r="D39" s="243" t="s">
        <v>840</v>
      </c>
      <c r="E39" s="243" t="s">
        <v>43</v>
      </c>
      <c r="F39" s="243" t="s">
        <v>903</v>
      </c>
      <c r="G39" s="722" t="s">
        <v>172</v>
      </c>
      <c r="H39" s="246" t="s">
        <v>470</v>
      </c>
    </row>
    <row r="40" spans="1:8" ht="16.5" customHeight="1">
      <c r="A40" s="963"/>
      <c r="B40" s="129" t="s">
        <v>1297</v>
      </c>
      <c r="C40" s="62"/>
      <c r="D40" s="63"/>
      <c r="E40" s="252">
        <f>(D40-C40)*25</f>
        <v>0</v>
      </c>
      <c r="F40" s="63"/>
      <c r="G40" s="252">
        <f>(F40-C40)*25</f>
        <v>0</v>
      </c>
      <c r="H40" s="31"/>
    </row>
    <row r="41" spans="1:8" ht="16.5" customHeight="1">
      <c r="A41" s="963"/>
      <c r="B41" s="16" t="s">
        <v>1298</v>
      </c>
      <c r="C41" s="62"/>
      <c r="D41" s="63"/>
      <c r="E41" s="252">
        <f>(D41-C41)*25</f>
        <v>0</v>
      </c>
      <c r="F41" s="63"/>
      <c r="G41" s="252">
        <f>(F41-C41)*25</f>
        <v>0</v>
      </c>
      <c r="H41" s="31"/>
    </row>
    <row r="42" spans="1:8" ht="16.5" customHeight="1">
      <c r="A42" s="963"/>
      <c r="B42" s="16" t="s">
        <v>1299</v>
      </c>
      <c r="C42" s="62"/>
      <c r="D42" s="63"/>
      <c r="E42" s="252">
        <f>(D42-C42)*25</f>
        <v>0</v>
      </c>
      <c r="F42" s="63"/>
      <c r="G42" s="252">
        <f>(F42-C42)*25</f>
        <v>0</v>
      </c>
      <c r="H42" s="31"/>
    </row>
    <row r="43" spans="1:8" ht="16.5" customHeight="1">
      <c r="A43" s="963"/>
      <c r="B43" s="16" t="s">
        <v>1300</v>
      </c>
      <c r="C43" s="724">
        <f>F43*70%</f>
        <v>16463999.999999998</v>
      </c>
      <c r="D43" s="63">
        <f>F43-2000000</f>
        <v>21520000</v>
      </c>
      <c r="E43" s="252">
        <f>(D43-C43)*30</f>
        <v>151680000.00000006</v>
      </c>
      <c r="F43" s="723">
        <v>23520000</v>
      </c>
      <c r="G43" s="252">
        <f>(F43-C43)*30</f>
        <v>211680000.00000006</v>
      </c>
      <c r="H43" s="31" t="s">
        <v>1306</v>
      </c>
    </row>
    <row r="44" spans="1:8" ht="16.5" customHeight="1">
      <c r="A44" s="963"/>
      <c r="B44" s="16" t="s">
        <v>1301</v>
      </c>
      <c r="C44" s="162"/>
      <c r="D44" s="63"/>
      <c r="E44" s="252">
        <f t="shared" ref="E44:E46" si="1">(D44-C44)*30</f>
        <v>0</v>
      </c>
      <c r="F44" s="63"/>
      <c r="G44" s="252">
        <f t="shared" ref="G44:G47" si="2">(F44-C44)*30</f>
        <v>0</v>
      </c>
      <c r="H44" s="31"/>
    </row>
    <row r="45" spans="1:8" ht="16.5" customHeight="1">
      <c r="A45" s="963"/>
      <c r="B45" s="16" t="s">
        <v>1302</v>
      </c>
      <c r="C45" s="162"/>
      <c r="D45" s="63"/>
      <c r="E45" s="252">
        <f t="shared" si="1"/>
        <v>0</v>
      </c>
      <c r="F45" s="63"/>
      <c r="G45" s="252">
        <f t="shared" si="2"/>
        <v>0</v>
      </c>
      <c r="H45" s="31"/>
    </row>
    <row r="46" spans="1:8" ht="16.5" customHeight="1">
      <c r="A46" s="963"/>
      <c r="B46" s="129" t="s">
        <v>1303</v>
      </c>
      <c r="C46" s="725"/>
      <c r="D46" s="63"/>
      <c r="E46" s="252">
        <f t="shared" si="1"/>
        <v>0</v>
      </c>
      <c r="F46" s="723"/>
      <c r="G46" s="252">
        <f t="shared" si="2"/>
        <v>0</v>
      </c>
      <c r="H46" s="31"/>
    </row>
    <row r="47" spans="1:8" ht="16.5" customHeight="1" thickBot="1">
      <c r="A47" s="964"/>
      <c r="B47" s="164" t="s">
        <v>1304</v>
      </c>
      <c r="C47" s="64"/>
      <c r="D47" s="65"/>
      <c r="E47" s="644">
        <f>(D47-C47)*34</f>
        <v>0</v>
      </c>
      <c r="F47" s="65"/>
      <c r="G47" s="252">
        <f t="shared" si="2"/>
        <v>0</v>
      </c>
      <c r="H47" s="66"/>
    </row>
    <row r="48" spans="1:8" ht="3.75" customHeight="1" thickBot="1"/>
    <row r="49" spans="1:12" ht="58">
      <c r="A49" s="921" t="s">
        <v>286</v>
      </c>
      <c r="B49" s="243" t="s">
        <v>101</v>
      </c>
      <c r="C49" s="508" t="s">
        <v>1393</v>
      </c>
      <c r="D49" s="247" t="s">
        <v>247</v>
      </c>
      <c r="E49" s="247" t="s">
        <v>235</v>
      </c>
      <c r="F49" s="247" t="s">
        <v>222</v>
      </c>
      <c r="G49" s="247" t="s">
        <v>367</v>
      </c>
      <c r="H49" s="243" t="s">
        <v>1136</v>
      </c>
      <c r="I49" s="1000" t="s">
        <v>1307</v>
      </c>
    </row>
    <row r="50" spans="1:12">
      <c r="A50" s="922"/>
      <c r="B50" s="129" t="s">
        <v>1297</v>
      </c>
      <c r="C50" s="62"/>
      <c r="D50" s="63">
        <f>E40</f>
        <v>0</v>
      </c>
      <c r="E50" s="252">
        <f t="shared" ref="E50:E57" si="3">D50-C50</f>
        <v>0</v>
      </c>
      <c r="F50" s="63">
        <f>G40</f>
        <v>0</v>
      </c>
      <c r="G50" s="252">
        <f t="shared" ref="G50:G57" si="4">F50-C50</f>
        <v>0</v>
      </c>
      <c r="H50" s="62"/>
      <c r="I50" s="1001"/>
    </row>
    <row r="51" spans="1:12">
      <c r="A51" s="922"/>
      <c r="B51" s="16" t="s">
        <v>1298</v>
      </c>
      <c r="C51" s="62"/>
      <c r="D51" s="63">
        <f>E41</f>
        <v>0</v>
      </c>
      <c r="E51" s="252">
        <f t="shared" si="3"/>
        <v>0</v>
      </c>
      <c r="F51" s="63">
        <f>G41</f>
        <v>0</v>
      </c>
      <c r="G51" s="252">
        <f t="shared" si="4"/>
        <v>0</v>
      </c>
      <c r="H51" s="62"/>
      <c r="I51" s="1001"/>
    </row>
    <row r="52" spans="1:12">
      <c r="A52" s="922"/>
      <c r="B52" s="16" t="s">
        <v>1299</v>
      </c>
      <c r="C52" s="62"/>
      <c r="D52" s="63">
        <f>E42</f>
        <v>0</v>
      </c>
      <c r="E52" s="252">
        <f t="shared" si="3"/>
        <v>0</v>
      </c>
      <c r="F52" s="63">
        <f>G42</f>
        <v>0</v>
      </c>
      <c r="G52" s="252">
        <f t="shared" si="4"/>
        <v>0</v>
      </c>
      <c r="H52" s="62"/>
      <c r="I52" s="1001"/>
    </row>
    <row r="53" spans="1:12" ht="17">
      <c r="A53" s="922"/>
      <c r="B53" s="16" t="s">
        <v>1300</v>
      </c>
      <c r="C53" s="62">
        <v>400000000</v>
      </c>
      <c r="D53" s="63">
        <f>E43</f>
        <v>151680000.00000006</v>
      </c>
      <c r="E53" s="252">
        <f t="shared" si="3"/>
        <v>-248319999.99999994</v>
      </c>
      <c r="F53" s="63">
        <f>G43</f>
        <v>211680000.00000006</v>
      </c>
      <c r="G53" s="252">
        <f t="shared" si="4"/>
        <v>-188319999.99999994</v>
      </c>
      <c r="H53" s="62">
        <f>(C53+(C43*34))/34</f>
        <v>28228705.882352937</v>
      </c>
      <c r="I53" s="806">
        <f>H53/F43</f>
        <v>1.2002000800320127</v>
      </c>
    </row>
    <row r="54" spans="1:12">
      <c r="A54" s="922"/>
      <c r="B54" s="16" t="s">
        <v>1301</v>
      </c>
      <c r="C54" s="62"/>
      <c r="D54" s="63">
        <f t="shared" ref="D54:D56" si="5">E44</f>
        <v>0</v>
      </c>
      <c r="E54" s="252">
        <f t="shared" si="3"/>
        <v>0</v>
      </c>
      <c r="F54" s="63">
        <f t="shared" ref="F54:F56" si="6">G44</f>
        <v>0</v>
      </c>
      <c r="G54" s="252">
        <f t="shared" si="4"/>
        <v>0</v>
      </c>
      <c r="H54" s="62"/>
      <c r="I54" s="758"/>
    </row>
    <row r="55" spans="1:12">
      <c r="A55" s="922"/>
      <c r="B55" s="16" t="s">
        <v>1302</v>
      </c>
      <c r="C55" s="62"/>
      <c r="D55" s="63">
        <f t="shared" si="5"/>
        <v>0</v>
      </c>
      <c r="E55" s="252">
        <f t="shared" si="3"/>
        <v>0</v>
      </c>
      <c r="F55" s="63">
        <f t="shared" si="6"/>
        <v>0</v>
      </c>
      <c r="G55" s="252">
        <f t="shared" si="4"/>
        <v>0</v>
      </c>
      <c r="H55" s="62"/>
      <c r="I55" s="758"/>
    </row>
    <row r="56" spans="1:12" ht="17">
      <c r="A56" s="922"/>
      <c r="B56" s="129" t="s">
        <v>1303</v>
      </c>
      <c r="C56" s="62"/>
      <c r="D56" s="63">
        <f t="shared" si="5"/>
        <v>0</v>
      </c>
      <c r="E56" s="252">
        <f t="shared" si="3"/>
        <v>0</v>
      </c>
      <c r="F56" s="63">
        <f t="shared" si="6"/>
        <v>0</v>
      </c>
      <c r="G56" s="252">
        <f t="shared" si="4"/>
        <v>0</v>
      </c>
      <c r="H56" s="62"/>
      <c r="I56" s="759"/>
    </row>
    <row r="57" spans="1:12" ht="16.5" thickBot="1">
      <c r="A57" s="923"/>
      <c r="B57" s="164" t="s">
        <v>1304</v>
      </c>
      <c r="C57" s="64"/>
      <c r="D57" s="65">
        <f>E47</f>
        <v>0</v>
      </c>
      <c r="E57" s="644">
        <f t="shared" si="3"/>
        <v>0</v>
      </c>
      <c r="F57" s="65">
        <f>G47</f>
        <v>0</v>
      </c>
      <c r="G57" s="366">
        <f t="shared" si="4"/>
        <v>0</v>
      </c>
      <c r="H57" s="64"/>
      <c r="I57" s="66"/>
    </row>
    <row r="58" spans="1:12" ht="4.5" customHeight="1" thickBot="1">
      <c r="G58" s="373"/>
    </row>
    <row r="59" spans="1:12">
      <c r="A59" s="833" t="s">
        <v>598</v>
      </c>
      <c r="B59" s="243" t="s">
        <v>599</v>
      </c>
      <c r="C59" s="242" t="s">
        <v>857</v>
      </c>
      <c r="D59" s="815" t="s">
        <v>600</v>
      </c>
      <c r="E59" s="816"/>
      <c r="F59" s="816"/>
      <c r="G59" s="816"/>
      <c r="H59" s="817"/>
      <c r="J59" s="5"/>
      <c r="K59" s="5"/>
      <c r="L59" s="5"/>
    </row>
    <row r="60" spans="1:12" ht="17">
      <c r="A60" s="834"/>
      <c r="B60" s="165" t="s">
        <v>601</v>
      </c>
      <c r="C60" s="627">
        <v>1426</v>
      </c>
      <c r="D60" s="491"/>
      <c r="H60" s="42"/>
      <c r="J60" s="509"/>
      <c r="K60" s="509"/>
      <c r="L60" s="509"/>
    </row>
    <row r="61" spans="1:12" ht="15.5" customHeight="1">
      <c r="A61" s="834"/>
      <c r="B61" s="165" t="s">
        <v>602</v>
      </c>
      <c r="C61" s="708">
        <v>2110</v>
      </c>
      <c r="D61" s="492"/>
      <c r="H61" s="42"/>
      <c r="J61" s="509"/>
      <c r="K61" s="509"/>
      <c r="L61" s="509"/>
    </row>
    <row r="62" spans="1:12">
      <c r="A62" s="834"/>
      <c r="B62" s="165" t="s">
        <v>603</v>
      </c>
      <c r="C62" s="626">
        <v>2191</v>
      </c>
      <c r="D62" s="492"/>
      <c r="H62" s="42"/>
    </row>
    <row r="63" spans="1:12">
      <c r="A63" s="835"/>
      <c r="B63" s="165" t="s">
        <v>604</v>
      </c>
      <c r="C63" s="627">
        <v>2823</v>
      </c>
      <c r="D63" s="492"/>
      <c r="H63" s="42"/>
    </row>
    <row r="64" spans="1:12">
      <c r="A64" s="835"/>
      <c r="B64" s="165" t="s">
        <v>1140</v>
      </c>
      <c r="C64" s="627">
        <f>H53/10000</f>
        <v>2822.8705882352938</v>
      </c>
      <c r="D64" s="492"/>
      <c r="H64" s="42"/>
    </row>
    <row r="65" spans="1:8">
      <c r="A65" s="835"/>
      <c r="B65" s="165" t="s">
        <v>1168</v>
      </c>
      <c r="C65" s="627"/>
      <c r="D65" s="492"/>
      <c r="H65" s="42"/>
    </row>
    <row r="66" spans="1:8">
      <c r="A66" s="835"/>
      <c r="B66" s="165" t="s">
        <v>1169</v>
      </c>
      <c r="C66" s="627"/>
      <c r="D66" s="492"/>
      <c r="H66" s="42"/>
    </row>
    <row r="67" spans="1:8">
      <c r="A67" s="835"/>
      <c r="B67" s="165" t="s">
        <v>1170</v>
      </c>
      <c r="C67" s="627"/>
      <c r="D67" s="492"/>
      <c r="H67" s="42"/>
    </row>
    <row r="68" spans="1:8">
      <c r="A68" s="835"/>
      <c r="B68" s="165" t="s">
        <v>1171</v>
      </c>
      <c r="C68" s="627"/>
      <c r="D68" s="492"/>
      <c r="H68" s="42"/>
    </row>
    <row r="69" spans="1:8">
      <c r="A69" s="835"/>
      <c r="B69" s="165" t="s">
        <v>1172</v>
      </c>
      <c r="C69" s="627"/>
      <c r="D69" s="492"/>
      <c r="H69" s="42"/>
    </row>
    <row r="70" spans="1:8">
      <c r="A70" s="835"/>
      <c r="B70" s="165" t="s">
        <v>1173</v>
      </c>
      <c r="C70" s="627"/>
      <c r="D70" s="492"/>
      <c r="H70" s="42"/>
    </row>
    <row r="71" spans="1:8">
      <c r="A71" s="835"/>
      <c r="B71" s="165" t="s">
        <v>1174</v>
      </c>
      <c r="C71" s="627"/>
      <c r="D71" s="492"/>
      <c r="H71" s="42"/>
    </row>
    <row r="72" spans="1:8" ht="17.5" thickBot="1">
      <c r="A72" s="836"/>
      <c r="B72" s="490" t="s">
        <v>850</v>
      </c>
      <c r="C72" s="628"/>
      <c r="D72" s="493"/>
      <c r="E72" s="486"/>
      <c r="F72" s="486"/>
      <c r="G72" s="486"/>
      <c r="H72" s="487"/>
    </row>
    <row r="73" spans="1:8">
      <c r="A73" s="826" t="s">
        <v>650</v>
      </c>
      <c r="B73" s="564"/>
      <c r="C73" s="565"/>
      <c r="D73" s="566"/>
      <c r="E73" s="559"/>
      <c r="F73" s="559"/>
      <c r="G73" s="559"/>
      <c r="H73" s="567"/>
    </row>
    <row r="74" spans="1:8">
      <c r="A74" s="827"/>
      <c r="B74" s="206"/>
      <c r="C74" s="78"/>
      <c r="D74" s="79"/>
      <c r="E74" s="76"/>
      <c r="F74" s="76"/>
      <c r="G74" s="76"/>
      <c r="H74" s="114"/>
    </row>
    <row r="75" spans="1:8">
      <c r="A75" s="827"/>
      <c r="B75" s="206"/>
      <c r="C75" s="78"/>
      <c r="D75" s="79"/>
      <c r="E75" s="76"/>
      <c r="F75" s="76"/>
      <c r="G75" s="76"/>
      <c r="H75" s="114"/>
    </row>
    <row r="76" spans="1:8">
      <c r="A76" s="827"/>
      <c r="B76" s="206"/>
      <c r="C76" s="78"/>
      <c r="D76" s="79"/>
      <c r="E76" s="76"/>
      <c r="F76" s="76"/>
      <c r="G76" s="76"/>
      <c r="H76" s="114"/>
    </row>
    <row r="77" spans="1:8">
      <c r="A77" s="827"/>
      <c r="B77" s="206"/>
      <c r="C77" s="78"/>
      <c r="D77" s="79"/>
      <c r="E77" s="76"/>
      <c r="F77" s="76"/>
      <c r="G77" s="76"/>
      <c r="H77" s="114"/>
    </row>
    <row r="78" spans="1:8">
      <c r="A78" s="827"/>
      <c r="B78" s="206"/>
      <c r="C78" s="78"/>
      <c r="D78" s="79"/>
      <c r="E78" s="76"/>
      <c r="F78" s="76"/>
      <c r="G78" s="76"/>
      <c r="H78" s="114"/>
    </row>
    <row r="79" spans="1:8" ht="16.5" thickBot="1">
      <c r="A79" s="828"/>
      <c r="B79" s="568"/>
      <c r="C79" s="569"/>
      <c r="D79" s="570"/>
      <c r="E79" s="571"/>
      <c r="F79" s="571"/>
      <c r="G79" s="571"/>
      <c r="H79" s="572"/>
    </row>
  </sheetData>
  <mergeCells count="19">
    <mergeCell ref="A1:H1"/>
    <mergeCell ref="A2:A16"/>
    <mergeCell ref="C3:D3"/>
    <mergeCell ref="C4:D4"/>
    <mergeCell ref="D5:E5"/>
    <mergeCell ref="G5:H5"/>
    <mergeCell ref="F8:H8"/>
    <mergeCell ref="F12:G12"/>
    <mergeCell ref="C13:E13"/>
    <mergeCell ref="F13:H13"/>
    <mergeCell ref="A59:A72"/>
    <mergeCell ref="D59:H59"/>
    <mergeCell ref="A73:A79"/>
    <mergeCell ref="I49:I52"/>
    <mergeCell ref="B15:B16"/>
    <mergeCell ref="A18:A26"/>
    <mergeCell ref="A28:A37"/>
    <mergeCell ref="A39:A47"/>
    <mergeCell ref="A49:A57"/>
  </mergeCells>
  <phoneticPr fontId="16" type="noConversion"/>
  <pageMargins left="0.69972223043441772" right="0.69972223043441772" top="0.75" bottom="0.75" header="0.30000001192092896" footer="0.30000001192092896"/>
  <pageSetup paperSize="9" scale="77" orientation="portrait" horizontalDpi="4294967293" verticalDpi="4294967293" r:id="rId1"/>
  <rowBreaks count="1" manualBreakCount="1">
    <brk id="60" max="1048575" man="1"/>
  </rowBreaks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tabColor rgb="FFFF0000"/>
  </sheetPr>
  <dimension ref="A1:K75"/>
  <sheetViews>
    <sheetView showGridLines="0" topLeftCell="A56" zoomScale="85" zoomScaleNormal="85" zoomScaleSheetLayoutView="85" workbookViewId="0">
      <selection activeCell="C64" sqref="C64"/>
    </sheetView>
  </sheetViews>
  <sheetFormatPr defaultColWidth="13.4140625" defaultRowHeight="16"/>
  <cols>
    <col min="1" max="1" width="15.9140625" style="76" bestFit="1" customWidth="1"/>
    <col min="2" max="2" width="18.5" style="77" bestFit="1" customWidth="1"/>
    <col min="3" max="3" width="23.1640625" style="78" customWidth="1"/>
    <col min="4" max="4" width="18.25" style="79" bestFit="1" customWidth="1"/>
    <col min="5" max="5" width="13.9140625" style="76" bestFit="1" customWidth="1"/>
    <col min="6" max="6" width="15.75" style="76" bestFit="1" customWidth="1"/>
    <col min="7" max="7" width="14" style="76" bestFit="1" customWidth="1"/>
    <col min="8" max="8" width="16.9140625" style="76" bestFit="1" customWidth="1"/>
    <col min="9" max="9" width="26.33203125" style="76" bestFit="1" customWidth="1"/>
    <col min="10" max="12" width="13.4140625" style="76" bestFit="1" customWidth="1"/>
    <col min="13" max="16384" width="13.4140625" style="76"/>
  </cols>
  <sheetData>
    <row r="1" spans="1:8" ht="31.5" customHeight="1">
      <c r="A1" s="927" t="s">
        <v>198</v>
      </c>
      <c r="B1" s="927"/>
      <c r="C1" s="927"/>
      <c r="D1" s="927"/>
      <c r="E1" s="927"/>
      <c r="F1" s="927"/>
      <c r="G1" s="927"/>
      <c r="H1" s="927"/>
    </row>
    <row r="2" spans="1:8" ht="15.5" customHeight="1">
      <c r="A2" s="955" t="s">
        <v>112</v>
      </c>
      <c r="B2" s="6" t="s">
        <v>420</v>
      </c>
      <c r="C2" s="852" t="s">
        <v>97</v>
      </c>
      <c r="D2" s="852"/>
      <c r="E2" s="852"/>
      <c r="F2" s="852"/>
      <c r="G2" s="852"/>
      <c r="H2" s="852"/>
    </row>
    <row r="3" spans="1:8" ht="15" customHeight="1">
      <c r="A3" s="958"/>
      <c r="B3" s="11" t="s">
        <v>471</v>
      </c>
      <c r="C3" s="851" t="s">
        <v>228</v>
      </c>
      <c r="D3" s="851"/>
      <c r="E3" s="851"/>
      <c r="F3" s="851"/>
      <c r="G3" s="851"/>
      <c r="H3" s="851"/>
    </row>
    <row r="4" spans="1:8">
      <c r="A4" s="958"/>
      <c r="B4" s="11" t="s">
        <v>407</v>
      </c>
      <c r="C4" s="81" t="s">
        <v>230</v>
      </c>
      <c r="D4" s="82"/>
      <c r="E4" s="83"/>
      <c r="F4" s="83"/>
      <c r="G4" s="83"/>
      <c r="H4" s="84"/>
    </row>
    <row r="5" spans="1:8">
      <c r="A5" s="955"/>
      <c r="B5" s="11" t="s">
        <v>58</v>
      </c>
      <c r="C5" s="845" t="s">
        <v>263</v>
      </c>
      <c r="D5" s="846"/>
      <c r="E5" s="85"/>
      <c r="F5" s="85"/>
      <c r="G5" s="85"/>
      <c r="H5" s="86"/>
    </row>
    <row r="6" spans="1:8">
      <c r="A6" s="958"/>
      <c r="B6" s="11" t="s">
        <v>53</v>
      </c>
      <c r="C6" s="845"/>
      <c r="D6" s="847"/>
      <c r="E6" s="85"/>
      <c r="F6" s="85"/>
      <c r="G6" s="85"/>
      <c r="H6" s="86"/>
    </row>
    <row r="7" spans="1:8">
      <c r="A7" s="937"/>
      <c r="B7" s="16" t="s">
        <v>99</v>
      </c>
      <c r="C7" s="87">
        <v>51305</v>
      </c>
      <c r="D7" s="840" t="s">
        <v>231</v>
      </c>
      <c r="E7" s="841"/>
      <c r="F7" s="470">
        <f>C7*0.3025/C9</f>
        <v>33.738614130434783</v>
      </c>
      <c r="G7" s="842" t="s">
        <v>524</v>
      </c>
      <c r="H7" s="843"/>
    </row>
    <row r="8" spans="1:8">
      <c r="A8" s="937"/>
      <c r="B8" s="16" t="s">
        <v>425</v>
      </c>
      <c r="C8" s="87">
        <v>8</v>
      </c>
      <c r="D8" s="88"/>
      <c r="E8" s="83"/>
      <c r="F8" s="83"/>
      <c r="G8" s="83"/>
      <c r="H8" s="84"/>
    </row>
    <row r="9" spans="1:8">
      <c r="A9" s="937"/>
      <c r="B9" s="16" t="s">
        <v>335</v>
      </c>
      <c r="C9" s="87">
        <v>460</v>
      </c>
      <c r="D9" s="89" t="s">
        <v>39</v>
      </c>
      <c r="E9" s="90">
        <f>C9/C11</f>
        <v>0.44188280499519694</v>
      </c>
      <c r="F9" s="88"/>
      <c r="G9" s="83"/>
      <c r="H9" s="84"/>
    </row>
    <row r="10" spans="1:8">
      <c r="A10" s="937"/>
      <c r="B10" s="16" t="s">
        <v>54</v>
      </c>
      <c r="C10" s="471">
        <f>C11-C9</f>
        <v>581</v>
      </c>
      <c r="D10" s="89" t="s">
        <v>145</v>
      </c>
      <c r="E10" s="472">
        <f>C10/C11</f>
        <v>0.55811719500480306</v>
      </c>
      <c r="F10" s="848" t="s">
        <v>29</v>
      </c>
      <c r="G10" s="849"/>
      <c r="H10" s="850"/>
    </row>
    <row r="11" spans="1:8">
      <c r="A11" s="937"/>
      <c r="B11" s="16" t="s">
        <v>150</v>
      </c>
      <c r="C11" s="87">
        <v>1041</v>
      </c>
      <c r="D11" s="177" t="s">
        <v>309</v>
      </c>
      <c r="E11" s="83"/>
      <c r="F11" s="83"/>
      <c r="G11" s="83"/>
      <c r="H11" s="84"/>
    </row>
    <row r="12" spans="1:8">
      <c r="A12" s="937"/>
      <c r="B12" s="16" t="s">
        <v>427</v>
      </c>
      <c r="C12" s="92">
        <v>0.15670000000000001</v>
      </c>
      <c r="D12" s="93" t="s">
        <v>84</v>
      </c>
      <c r="E12" s="94">
        <f>C7*C12</f>
        <v>8039.4935000000005</v>
      </c>
      <c r="F12" s="95" t="s">
        <v>41</v>
      </c>
      <c r="G12" s="96">
        <f>E13/E12</f>
        <v>16.932354818123798</v>
      </c>
      <c r="H12" s="97"/>
    </row>
    <row r="13" spans="1:8">
      <c r="A13" s="937"/>
      <c r="B13" s="16" t="s">
        <v>466</v>
      </c>
      <c r="C13" s="92">
        <v>2.6532999999999998</v>
      </c>
      <c r="D13" s="93" t="s">
        <v>91</v>
      </c>
      <c r="E13" s="98">
        <f>C7*C13</f>
        <v>136127.55649999998</v>
      </c>
      <c r="F13" s="95" t="s">
        <v>209</v>
      </c>
      <c r="G13" s="96">
        <f>E13*76%</f>
        <v>103456.94293999998</v>
      </c>
      <c r="H13" s="99"/>
    </row>
    <row r="14" spans="1:8">
      <c r="A14" s="937"/>
      <c r="B14" s="16" t="s">
        <v>208</v>
      </c>
      <c r="C14" s="100" t="s">
        <v>1079</v>
      </c>
      <c r="D14" s="88"/>
      <c r="E14" s="83"/>
      <c r="F14" s="840" t="s">
        <v>234</v>
      </c>
      <c r="G14" s="841"/>
      <c r="H14" s="477">
        <f>G13/C35</f>
        <v>1.3465871342852305</v>
      </c>
    </row>
    <row r="15" spans="1:8" ht="15" customHeight="1">
      <c r="A15" s="937"/>
      <c r="B15" s="16" t="s">
        <v>441</v>
      </c>
      <c r="C15" s="101" t="s">
        <v>213</v>
      </c>
      <c r="D15" s="102"/>
      <c r="E15" s="103"/>
      <c r="F15" s="848" t="s">
        <v>392</v>
      </c>
      <c r="G15" s="849"/>
      <c r="H15" s="850"/>
    </row>
    <row r="16" spans="1:8">
      <c r="A16" s="937"/>
      <c r="B16" s="32" t="s">
        <v>87</v>
      </c>
      <c r="C16" s="222"/>
      <c r="D16" s="104"/>
      <c r="E16" s="83"/>
      <c r="F16" s="83"/>
      <c r="G16" s="83"/>
      <c r="H16" s="84"/>
    </row>
    <row r="17" spans="1:8" ht="15" customHeight="1">
      <c r="A17" s="955"/>
      <c r="B17" s="844" t="s">
        <v>470</v>
      </c>
      <c r="C17" s="105" t="s">
        <v>178</v>
      </c>
      <c r="D17" s="105" t="s">
        <v>251</v>
      </c>
      <c r="E17" s="106"/>
      <c r="F17" s="106"/>
      <c r="G17" s="106"/>
      <c r="H17" s="107"/>
    </row>
    <row r="18" spans="1:8">
      <c r="A18" s="938"/>
      <c r="B18" s="844"/>
      <c r="C18" s="108"/>
      <c r="D18" s="109"/>
      <c r="E18" s="110"/>
      <c r="F18" s="110"/>
      <c r="G18" s="110"/>
      <c r="H18" s="111"/>
    </row>
    <row r="19" spans="1:8" ht="5.25" customHeight="1">
      <c r="A19" s="112"/>
      <c r="B19" s="40"/>
      <c r="C19" s="113"/>
      <c r="D19" s="113"/>
      <c r="H19" s="114"/>
    </row>
    <row r="20" spans="1:8">
      <c r="A20" s="955" t="s">
        <v>49</v>
      </c>
      <c r="B20" s="43" t="s">
        <v>174</v>
      </c>
      <c r="C20" s="115" t="s">
        <v>324</v>
      </c>
      <c r="D20" s="116"/>
      <c r="E20" s="117"/>
      <c r="F20" s="117"/>
      <c r="G20" s="117"/>
      <c r="H20" s="118"/>
    </row>
    <row r="21" spans="1:8">
      <c r="A21" s="956"/>
      <c r="B21" s="25" t="s">
        <v>65</v>
      </c>
      <c r="C21" s="119" t="s">
        <v>308</v>
      </c>
      <c r="D21" s="120"/>
      <c r="E21" s="83"/>
      <c r="F21" s="83"/>
      <c r="G21" s="83"/>
      <c r="H21" s="84"/>
    </row>
    <row r="22" spans="1:8">
      <c r="A22" s="955"/>
      <c r="B22" s="25" t="s">
        <v>95</v>
      </c>
      <c r="C22" s="93" t="s">
        <v>310</v>
      </c>
      <c r="D22" s="120"/>
      <c r="E22" s="83"/>
      <c r="F22" s="83"/>
      <c r="G22" s="83"/>
      <c r="H22" s="84"/>
    </row>
    <row r="23" spans="1:8">
      <c r="A23" s="956"/>
      <c r="B23" s="25" t="s">
        <v>59</v>
      </c>
      <c r="C23" s="93" t="s">
        <v>333</v>
      </c>
      <c r="D23" s="120"/>
      <c r="E23" s="83"/>
      <c r="F23" s="83"/>
      <c r="G23" s="83"/>
      <c r="H23" s="84"/>
    </row>
    <row r="24" spans="1:8">
      <c r="A24" s="955"/>
      <c r="B24" s="25" t="s">
        <v>452</v>
      </c>
      <c r="C24" s="93" t="s">
        <v>359</v>
      </c>
      <c r="D24" s="120"/>
      <c r="E24" s="83"/>
      <c r="F24" s="83"/>
      <c r="G24" s="83"/>
      <c r="H24" s="84"/>
    </row>
    <row r="25" spans="1:8">
      <c r="A25" s="956"/>
      <c r="B25" s="25" t="s">
        <v>445</v>
      </c>
      <c r="C25" s="93" t="s">
        <v>259</v>
      </c>
      <c r="D25" s="91"/>
      <c r="E25" s="83"/>
      <c r="F25" s="83"/>
      <c r="G25" s="83"/>
      <c r="H25" s="84"/>
    </row>
    <row r="26" spans="1:8">
      <c r="A26" s="956"/>
      <c r="B26" s="25" t="s">
        <v>167</v>
      </c>
      <c r="C26" s="93" t="s">
        <v>266</v>
      </c>
      <c r="D26" s="91"/>
      <c r="E26" s="83"/>
      <c r="F26" s="83"/>
      <c r="G26" s="83"/>
      <c r="H26" s="84"/>
    </row>
    <row r="27" spans="1:8">
      <c r="A27" s="956"/>
      <c r="B27" s="25" t="s">
        <v>447</v>
      </c>
      <c r="C27" s="93" t="s">
        <v>275</v>
      </c>
      <c r="D27" s="91"/>
      <c r="E27" s="83"/>
      <c r="F27" s="83"/>
      <c r="G27" s="83"/>
      <c r="H27" s="84"/>
    </row>
    <row r="28" spans="1:8">
      <c r="A28" s="957"/>
      <c r="B28" s="25"/>
      <c r="C28" s="122"/>
      <c r="D28" s="123"/>
      <c r="E28" s="110"/>
      <c r="F28" s="110"/>
      <c r="G28" s="110"/>
      <c r="H28" s="111"/>
    </row>
    <row r="29" spans="1:8" ht="5.25" customHeight="1">
      <c r="A29" s="112"/>
      <c r="B29" s="40"/>
      <c r="C29" s="3"/>
      <c r="H29" s="114"/>
    </row>
    <row r="30" spans="1:8" s="80" customFormat="1" ht="13.5" customHeight="1">
      <c r="A30" s="955" t="s">
        <v>160</v>
      </c>
      <c r="B30" s="124" t="s">
        <v>101</v>
      </c>
      <c r="C30" s="125" t="s">
        <v>48</v>
      </c>
      <c r="D30" s="126" t="s">
        <v>125</v>
      </c>
      <c r="E30" s="126" t="s">
        <v>434</v>
      </c>
      <c r="F30" s="126" t="s">
        <v>414</v>
      </c>
      <c r="G30" s="127" t="s">
        <v>465</v>
      </c>
      <c r="H30" s="127" t="s">
        <v>454</v>
      </c>
    </row>
    <row r="31" spans="1:8">
      <c r="A31" s="956"/>
      <c r="B31" s="129" t="s">
        <v>1080</v>
      </c>
      <c r="C31" s="130">
        <f>39*D31</f>
        <v>2223</v>
      </c>
      <c r="D31" s="87">
        <v>57</v>
      </c>
      <c r="E31" s="87" t="s">
        <v>436</v>
      </c>
      <c r="F31" s="87" t="s">
        <v>436</v>
      </c>
      <c r="G31" s="225" t="s">
        <v>436</v>
      </c>
      <c r="H31" s="131">
        <f>D31/$D$35</f>
        <v>5.4755043227665709E-2</v>
      </c>
    </row>
    <row r="32" spans="1:8">
      <c r="A32" s="956"/>
      <c r="B32" s="129" t="s">
        <v>1083</v>
      </c>
      <c r="C32" s="130">
        <f>59*D32</f>
        <v>19647</v>
      </c>
      <c r="D32" s="87">
        <v>333</v>
      </c>
      <c r="E32" s="87"/>
      <c r="F32" s="87"/>
      <c r="G32" s="223"/>
      <c r="H32" s="131">
        <f>D32/$D$35</f>
        <v>0.31988472622478387</v>
      </c>
    </row>
    <row r="33" spans="1:9" ht="16.5" thickBot="1">
      <c r="A33" s="958"/>
      <c r="B33" s="129" t="s">
        <v>1082</v>
      </c>
      <c r="C33" s="130">
        <f>84*D33</f>
        <v>54264</v>
      </c>
      <c r="D33" s="133">
        <v>646</v>
      </c>
      <c r="E33" s="87"/>
      <c r="F33" s="133"/>
      <c r="G33" s="223"/>
      <c r="H33" s="131">
        <f>D33/$D$35</f>
        <v>0.62055715658021138</v>
      </c>
    </row>
    <row r="34" spans="1:9">
      <c r="A34" s="955"/>
      <c r="B34" s="129" t="s">
        <v>1081</v>
      </c>
      <c r="C34" s="130">
        <f>139*D34</f>
        <v>695</v>
      </c>
      <c r="D34" s="133">
        <v>5</v>
      </c>
      <c r="E34" s="87"/>
      <c r="F34" s="133"/>
      <c r="G34" s="223"/>
      <c r="H34" s="131">
        <f>D34/$D$35</f>
        <v>4.8030739673390974E-3</v>
      </c>
    </row>
    <row r="35" spans="1:9" ht="16.5" thickBot="1">
      <c r="A35" s="957"/>
      <c r="B35" s="129" t="s">
        <v>462</v>
      </c>
      <c r="C35" s="57">
        <f t="shared" ref="C35:H35" si="0">SUM(C31:C34)</f>
        <v>76829</v>
      </c>
      <c r="D35" s="57">
        <f t="shared" si="0"/>
        <v>1041</v>
      </c>
      <c r="E35" s="57">
        <f t="shared" si="0"/>
        <v>0</v>
      </c>
      <c r="F35" s="57">
        <f t="shared" si="0"/>
        <v>0</v>
      </c>
      <c r="G35" s="224">
        <f t="shared" si="0"/>
        <v>0</v>
      </c>
      <c r="H35" s="135">
        <f t="shared" si="0"/>
        <v>1</v>
      </c>
    </row>
    <row r="36" spans="1:9" ht="6" customHeight="1">
      <c r="A36" s="112"/>
      <c r="B36" s="40"/>
      <c r="C36" s="3"/>
      <c r="H36" s="114"/>
    </row>
    <row r="37" spans="1:9" s="77" customFormat="1" ht="15.5" customHeight="1">
      <c r="A37" s="1043" t="s">
        <v>1084</v>
      </c>
      <c r="B37" s="124" t="s">
        <v>451</v>
      </c>
      <c r="C37" s="126" t="s">
        <v>901</v>
      </c>
      <c r="D37" s="126" t="s">
        <v>902</v>
      </c>
      <c r="E37" s="466" t="s">
        <v>43</v>
      </c>
      <c r="F37" s="126" t="s">
        <v>903</v>
      </c>
      <c r="G37" s="467" t="s">
        <v>172</v>
      </c>
      <c r="H37" s="137" t="s">
        <v>470</v>
      </c>
    </row>
    <row r="38" spans="1:9" ht="16.5" customHeight="1">
      <c r="A38" s="1043"/>
      <c r="B38" s="129" t="s">
        <v>1080</v>
      </c>
      <c r="C38" s="138" t="s">
        <v>436</v>
      </c>
      <c r="D38" s="138" t="s">
        <v>436</v>
      </c>
      <c r="E38" s="362" t="e">
        <f>(D38-C38)*17</f>
        <v>#VALUE!</v>
      </c>
      <c r="F38" s="138" t="s">
        <v>436</v>
      </c>
      <c r="G38" s="362" t="e">
        <f>(F38-C38)*17</f>
        <v>#VALUE!</v>
      </c>
      <c r="H38" s="140" t="s">
        <v>449</v>
      </c>
    </row>
    <row r="39" spans="1:9" ht="16.5" customHeight="1">
      <c r="A39" s="1043"/>
      <c r="B39" s="129" t="s">
        <v>1083</v>
      </c>
      <c r="C39" s="138"/>
      <c r="D39" s="138"/>
      <c r="E39" s="362">
        <f>(D39-C39)*25</f>
        <v>0</v>
      </c>
      <c r="F39" s="138"/>
      <c r="G39" s="362">
        <f>(F39-C39)*25</f>
        <v>0</v>
      </c>
      <c r="H39" s="140"/>
    </row>
    <row r="40" spans="1:9" ht="16.5" customHeight="1">
      <c r="A40" s="1043"/>
      <c r="B40" s="129" t="s">
        <v>1082</v>
      </c>
      <c r="C40" s="726">
        <f>F40*70%</f>
        <v>10381000</v>
      </c>
      <c r="D40" s="138">
        <f>F40-2000000</f>
        <v>12830000</v>
      </c>
      <c r="E40" s="362">
        <f>(D40-C40)*34</f>
        <v>83266000</v>
      </c>
      <c r="F40" s="726">
        <v>14830000</v>
      </c>
      <c r="G40" s="362">
        <f>(F40-C40)*34</f>
        <v>151266000</v>
      </c>
      <c r="H40" s="140" t="s">
        <v>1426</v>
      </c>
    </row>
    <row r="41" spans="1:9" ht="16.5" customHeight="1" thickBot="1">
      <c r="A41" s="1043"/>
      <c r="B41" s="129" t="s">
        <v>1081</v>
      </c>
      <c r="C41" s="138"/>
      <c r="D41" s="138"/>
      <c r="E41" s="362">
        <f>(D41-C41)*57</f>
        <v>0</v>
      </c>
      <c r="F41" s="138"/>
      <c r="G41" s="362">
        <f>(F41-C41)*57</f>
        <v>0</v>
      </c>
      <c r="H41" s="140"/>
    </row>
    <row r="42" spans="1:9" ht="16.5" customHeight="1" thickBot="1">
      <c r="A42" s="1043"/>
      <c r="B42" s="129"/>
      <c r="C42" s="138"/>
      <c r="D42" s="138"/>
      <c r="E42" s="362"/>
      <c r="F42" s="138"/>
      <c r="G42" s="362"/>
      <c r="H42" s="140"/>
    </row>
    <row r="43" spans="1:9" ht="16.5" customHeight="1" thickBot="1">
      <c r="A43" s="1043"/>
      <c r="B43" s="129"/>
      <c r="C43" s="138"/>
      <c r="D43" s="138"/>
      <c r="E43" s="362"/>
      <c r="F43" s="138"/>
      <c r="G43" s="362"/>
      <c r="H43" s="140"/>
    </row>
    <row r="44" spans="1:9" ht="16.5" customHeight="1" thickBot="1">
      <c r="A44" s="1043"/>
      <c r="B44" s="129"/>
      <c r="C44" s="138"/>
      <c r="D44" s="138"/>
      <c r="E44" s="362"/>
      <c r="F44" s="138"/>
      <c r="G44" s="362"/>
      <c r="H44" s="140"/>
    </row>
    <row r="45" spans="1:9" ht="16.5" customHeight="1" thickBot="1">
      <c r="A45" s="1043"/>
      <c r="B45" s="129"/>
      <c r="C45" s="138"/>
      <c r="D45" s="138"/>
      <c r="E45" s="362"/>
      <c r="F45" s="138"/>
      <c r="G45" s="362"/>
      <c r="H45" s="140"/>
    </row>
    <row r="46" spans="1:9" ht="16.5" customHeight="1" thickBot="1">
      <c r="A46" s="1043"/>
      <c r="B46" s="129"/>
      <c r="C46" s="138"/>
      <c r="D46" s="138"/>
      <c r="E46" s="362"/>
      <c r="F46" s="138"/>
      <c r="G46" s="362"/>
      <c r="H46" s="140"/>
    </row>
    <row r="47" spans="1:9" ht="5.25" customHeight="1" thickBot="1">
      <c r="A47" s="142"/>
      <c r="B47" s="143"/>
      <c r="C47" s="144"/>
      <c r="D47" s="144"/>
      <c r="E47" s="145"/>
      <c r="F47" s="144"/>
      <c r="G47" s="145"/>
      <c r="H47" s="146"/>
    </row>
    <row r="48" spans="1:9" ht="60.15" customHeight="1">
      <c r="A48" s="952" t="s">
        <v>286</v>
      </c>
      <c r="B48" s="126" t="s">
        <v>101</v>
      </c>
      <c r="C48" s="508" t="s">
        <v>1393</v>
      </c>
      <c r="D48" s="147" t="s">
        <v>247</v>
      </c>
      <c r="E48" s="468" t="s">
        <v>322</v>
      </c>
      <c r="F48" s="147" t="s">
        <v>222</v>
      </c>
      <c r="G48" s="468" t="s">
        <v>367</v>
      </c>
      <c r="H48" s="126" t="s">
        <v>1136</v>
      </c>
      <c r="I48" s="824" t="s">
        <v>1206</v>
      </c>
    </row>
    <row r="49" spans="1:11">
      <c r="A49" s="953"/>
      <c r="B49" s="213" t="s">
        <v>1028</v>
      </c>
      <c r="C49" s="148" t="s">
        <v>436</v>
      </c>
      <c r="D49" s="139" t="e">
        <f t="shared" ref="D49:D57" si="1">E38</f>
        <v>#VALUE!</v>
      </c>
      <c r="E49" s="362" t="e">
        <f t="shared" ref="E49:E57" si="2">D49-C49</f>
        <v>#VALUE!</v>
      </c>
      <c r="F49" s="139" t="e">
        <f t="shared" ref="F49:F57" si="3">G38</f>
        <v>#VALUE!</v>
      </c>
      <c r="G49" s="362" t="e">
        <f t="shared" ref="G49:G57" si="4">F49-C49</f>
        <v>#VALUE!</v>
      </c>
      <c r="H49" s="739" t="s">
        <v>449</v>
      </c>
      <c r="I49" s="825"/>
    </row>
    <row r="50" spans="1:11">
      <c r="A50" s="953"/>
      <c r="B50" s="213" t="s">
        <v>1083</v>
      </c>
      <c r="C50" s="148"/>
      <c r="D50" s="139">
        <f t="shared" si="1"/>
        <v>0</v>
      </c>
      <c r="E50" s="362">
        <f t="shared" si="2"/>
        <v>0</v>
      </c>
      <c r="F50" s="139">
        <f t="shared" si="3"/>
        <v>0</v>
      </c>
      <c r="G50" s="362">
        <f t="shared" si="4"/>
        <v>0</v>
      </c>
      <c r="H50" s="739"/>
      <c r="I50" s="825"/>
    </row>
    <row r="51" spans="1:11" ht="17">
      <c r="A51" s="953"/>
      <c r="B51" s="213" t="s">
        <v>1082</v>
      </c>
      <c r="C51" s="148">
        <v>250000000</v>
      </c>
      <c r="D51" s="139">
        <f t="shared" si="1"/>
        <v>83266000</v>
      </c>
      <c r="E51" s="362">
        <f t="shared" si="2"/>
        <v>-166734000</v>
      </c>
      <c r="F51" s="139">
        <f t="shared" si="3"/>
        <v>151266000</v>
      </c>
      <c r="G51" s="362">
        <f t="shared" si="4"/>
        <v>-98734000</v>
      </c>
      <c r="H51" s="62">
        <f>(C51+(C40*34))/34</f>
        <v>17733941.176470589</v>
      </c>
      <c r="I51" s="751">
        <f>H51/F40</f>
        <v>1.1958153187100868</v>
      </c>
    </row>
    <row r="52" spans="1:11">
      <c r="A52" s="953"/>
      <c r="B52" s="213" t="s">
        <v>1081</v>
      </c>
      <c r="C52" s="148"/>
      <c r="D52" s="139">
        <f t="shared" si="1"/>
        <v>0</v>
      </c>
      <c r="E52" s="362">
        <f t="shared" si="2"/>
        <v>0</v>
      </c>
      <c r="F52" s="139">
        <f t="shared" si="3"/>
        <v>0</v>
      </c>
      <c r="G52" s="362">
        <f t="shared" si="4"/>
        <v>0</v>
      </c>
      <c r="H52" s="739"/>
      <c r="I52" s="140"/>
    </row>
    <row r="53" spans="1:11">
      <c r="A53" s="953"/>
      <c r="B53" s="213"/>
      <c r="C53" s="148"/>
      <c r="D53" s="139">
        <f t="shared" si="1"/>
        <v>0</v>
      </c>
      <c r="E53" s="362">
        <f t="shared" si="2"/>
        <v>0</v>
      </c>
      <c r="F53" s="139">
        <f t="shared" si="3"/>
        <v>0</v>
      </c>
      <c r="G53" s="362">
        <f t="shared" si="4"/>
        <v>0</v>
      </c>
      <c r="H53" s="739"/>
      <c r="I53" s="140"/>
    </row>
    <row r="54" spans="1:11">
      <c r="A54" s="953"/>
      <c r="B54" s="213"/>
      <c r="C54" s="148"/>
      <c r="D54" s="139">
        <f t="shared" si="1"/>
        <v>0</v>
      </c>
      <c r="E54" s="362">
        <f t="shared" si="2"/>
        <v>0</v>
      </c>
      <c r="F54" s="139">
        <f t="shared" si="3"/>
        <v>0</v>
      </c>
      <c r="G54" s="362">
        <f t="shared" si="4"/>
        <v>0</v>
      </c>
      <c r="H54" s="739"/>
      <c r="I54" s="140"/>
    </row>
    <row r="55" spans="1:11">
      <c r="A55" s="953"/>
      <c r="B55" s="213"/>
      <c r="C55" s="148"/>
      <c r="D55" s="139">
        <f t="shared" si="1"/>
        <v>0</v>
      </c>
      <c r="E55" s="362">
        <f t="shared" si="2"/>
        <v>0</v>
      </c>
      <c r="F55" s="139">
        <f t="shared" si="3"/>
        <v>0</v>
      </c>
      <c r="G55" s="362">
        <f t="shared" si="4"/>
        <v>0</v>
      </c>
      <c r="H55" s="95"/>
      <c r="I55" s="140"/>
    </row>
    <row r="56" spans="1:11">
      <c r="A56" s="953"/>
      <c r="B56" s="213"/>
      <c r="C56" s="148"/>
      <c r="D56" s="139">
        <f t="shared" si="1"/>
        <v>0</v>
      </c>
      <c r="E56" s="362">
        <f t="shared" si="2"/>
        <v>0</v>
      </c>
      <c r="F56" s="139">
        <f t="shared" si="3"/>
        <v>0</v>
      </c>
      <c r="G56" s="362">
        <f t="shared" si="4"/>
        <v>0</v>
      </c>
      <c r="H56" s="739"/>
      <c r="I56" s="140"/>
    </row>
    <row r="57" spans="1:11" ht="16.5" thickBot="1">
      <c r="A57" s="954"/>
      <c r="B57" s="175"/>
      <c r="C57" s="240"/>
      <c r="D57" s="179">
        <f t="shared" si="1"/>
        <v>0</v>
      </c>
      <c r="E57" s="363">
        <f t="shared" si="2"/>
        <v>0</v>
      </c>
      <c r="F57" s="179">
        <f t="shared" si="3"/>
        <v>0</v>
      </c>
      <c r="G57" s="363">
        <f t="shared" si="4"/>
        <v>0</v>
      </c>
      <c r="H57" s="740"/>
      <c r="I57" s="180"/>
    </row>
    <row r="58" spans="1:11" s="1" customFormat="1" ht="22.75" customHeight="1">
      <c r="A58" s="1039" t="s">
        <v>598</v>
      </c>
      <c r="B58" s="737" t="s">
        <v>599</v>
      </c>
      <c r="C58" s="738" t="s">
        <v>857</v>
      </c>
      <c r="D58" s="1040" t="s">
        <v>600</v>
      </c>
      <c r="E58" s="1041"/>
      <c r="F58" s="1041"/>
      <c r="G58" s="1041"/>
      <c r="H58" s="1042"/>
      <c r="I58" s="5"/>
      <c r="J58" s="5"/>
      <c r="K58" s="5"/>
    </row>
    <row r="59" spans="1:11" s="1" customFormat="1" ht="22.75" customHeight="1">
      <c r="A59" s="1015"/>
      <c r="B59" s="165" t="s">
        <v>613</v>
      </c>
      <c r="C59" s="708">
        <v>1200</v>
      </c>
      <c r="D59" s="492"/>
      <c r="H59" s="42"/>
      <c r="I59" s="509"/>
      <c r="J59" s="509"/>
      <c r="K59" s="509"/>
    </row>
    <row r="60" spans="1:11" s="1" customFormat="1" ht="22.75" customHeight="1">
      <c r="A60" s="1016"/>
      <c r="B60" s="165" t="s">
        <v>601</v>
      </c>
      <c r="C60" s="627">
        <v>1250</v>
      </c>
      <c r="D60" s="492"/>
      <c r="H60" s="42"/>
    </row>
    <row r="61" spans="1:11" s="1" customFormat="1" ht="22.75" customHeight="1">
      <c r="A61" s="1016"/>
      <c r="B61" s="165" t="s">
        <v>602</v>
      </c>
      <c r="C61" s="627">
        <v>1270</v>
      </c>
      <c r="D61" s="492"/>
      <c r="H61" s="42"/>
    </row>
    <row r="62" spans="1:11" s="1" customFormat="1" ht="22.75" customHeight="1">
      <c r="A62" s="1016"/>
      <c r="B62" s="165" t="s">
        <v>603</v>
      </c>
      <c r="C62" s="627">
        <v>1412</v>
      </c>
      <c r="D62" s="492"/>
      <c r="H62" s="42"/>
    </row>
    <row r="63" spans="1:11" s="1" customFormat="1" ht="22.75" customHeight="1">
      <c r="A63" s="1016"/>
      <c r="B63" s="165" t="s">
        <v>604</v>
      </c>
      <c r="C63" s="627">
        <v>1656</v>
      </c>
      <c r="D63" s="492"/>
      <c r="H63" s="42"/>
    </row>
    <row r="64" spans="1:11" s="1" customFormat="1" ht="22.75" customHeight="1">
      <c r="A64" s="1016"/>
      <c r="B64" s="165" t="s">
        <v>1176</v>
      </c>
      <c r="C64" s="627">
        <f>H51/10000</f>
        <v>1773.3941176470589</v>
      </c>
      <c r="D64" s="492"/>
      <c r="H64" s="42"/>
    </row>
    <row r="65" spans="1:8" s="1" customFormat="1" ht="22.75" customHeight="1">
      <c r="A65" s="1016"/>
      <c r="B65" s="165" t="s">
        <v>1182</v>
      </c>
      <c r="C65" s="627"/>
      <c r="D65" s="492"/>
      <c r="H65" s="42"/>
    </row>
    <row r="66" spans="1:8" s="1" customFormat="1" ht="22.75" customHeight="1">
      <c r="A66" s="1016"/>
      <c r="B66" s="165" t="s">
        <v>1183</v>
      </c>
      <c r="C66" s="627"/>
      <c r="D66" s="492"/>
      <c r="H66" s="42"/>
    </row>
    <row r="67" spans="1:8" s="1" customFormat="1" ht="22.25" customHeight="1">
      <c r="A67" s="1016"/>
      <c r="B67" s="165" t="s">
        <v>1170</v>
      </c>
      <c r="C67" s="627"/>
      <c r="D67" s="492"/>
      <c r="H67" s="42"/>
    </row>
    <row r="68" spans="1:8" s="1" customFormat="1" ht="22.75" customHeight="1" thickBot="1">
      <c r="A68" s="1017"/>
      <c r="B68" s="490" t="s">
        <v>853</v>
      </c>
      <c r="C68" s="628"/>
      <c r="D68" s="493"/>
      <c r="E68" s="486"/>
      <c r="F68" s="486"/>
      <c r="G68" s="486"/>
      <c r="H68" s="487"/>
    </row>
    <row r="69" spans="1:8" ht="4" customHeight="1" thickBot="1"/>
    <row r="70" spans="1:8" ht="17">
      <c r="A70" s="826" t="s">
        <v>650</v>
      </c>
      <c r="B70" s="564" t="s">
        <v>1186</v>
      </c>
      <c r="C70" s="565"/>
      <c r="D70" s="566"/>
      <c r="E70" s="559"/>
      <c r="F70" s="559"/>
      <c r="G70" s="559"/>
      <c r="H70" s="567"/>
    </row>
    <row r="71" spans="1:8" ht="15" customHeight="1">
      <c r="A71" s="827"/>
      <c r="B71" s="206"/>
      <c r="H71" s="114"/>
    </row>
    <row r="72" spans="1:8" ht="15" customHeight="1">
      <c r="A72" s="827"/>
      <c r="B72" s="206"/>
      <c r="H72" s="114"/>
    </row>
    <row r="73" spans="1:8" ht="15" customHeight="1">
      <c r="A73" s="827"/>
      <c r="B73" s="206"/>
      <c r="H73" s="114"/>
    </row>
    <row r="74" spans="1:8" ht="15" customHeight="1">
      <c r="A74" s="827"/>
      <c r="B74" s="206"/>
      <c r="H74" s="114"/>
    </row>
    <row r="75" spans="1:8" ht="16.5" thickBot="1">
      <c r="A75" s="828"/>
      <c r="B75" s="568"/>
      <c r="C75" s="569"/>
      <c r="D75" s="570"/>
      <c r="E75" s="571"/>
      <c r="F75" s="571"/>
      <c r="G75" s="571"/>
      <c r="H75" s="572"/>
    </row>
  </sheetData>
  <mergeCells count="20">
    <mergeCell ref="A1:H1"/>
    <mergeCell ref="A2:A18"/>
    <mergeCell ref="D7:E7"/>
    <mergeCell ref="G7:H7"/>
    <mergeCell ref="B17:B18"/>
    <mergeCell ref="C5:D5"/>
    <mergeCell ref="C6:D6"/>
    <mergeCell ref="F10:H10"/>
    <mergeCell ref="C3:H3"/>
    <mergeCell ref="C2:H2"/>
    <mergeCell ref="A20:A28"/>
    <mergeCell ref="A30:A35"/>
    <mergeCell ref="A37:A46"/>
    <mergeCell ref="F14:G14"/>
    <mergeCell ref="F15:H15"/>
    <mergeCell ref="A58:A68"/>
    <mergeCell ref="D58:H58"/>
    <mergeCell ref="A70:A75"/>
    <mergeCell ref="I48:I50"/>
    <mergeCell ref="A48:A57"/>
  </mergeCells>
  <phoneticPr fontId="16" type="noConversion"/>
  <pageMargins left="0.69972223043441772" right="0.69972223043441772" top="0.75" bottom="0.75" header="0.30000001192092896" footer="0.30000001192092896"/>
  <pageSetup paperSize="9" scale="53" orientation="portrait" horizontalDpi="4294967293" verticalDpi="4294967293" r:id="rId1"/>
  <rowBreaks count="2" manualBreakCount="2">
    <brk id="83" max="1048575" man="1"/>
    <brk id="89" max="1048575" man="1"/>
  </rowBreaks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80"/>
  <sheetViews>
    <sheetView showGridLines="0" topLeftCell="A55" zoomScale="70" zoomScaleNormal="70" zoomScaleSheetLayoutView="85" workbookViewId="0">
      <selection activeCell="C57" sqref="C57"/>
    </sheetView>
  </sheetViews>
  <sheetFormatPr defaultColWidth="13.4140625" defaultRowHeight="16"/>
  <cols>
    <col min="1" max="1" width="15.9140625" style="76" bestFit="1" customWidth="1"/>
    <col min="2" max="2" width="18.5" style="77" bestFit="1" customWidth="1"/>
    <col min="3" max="3" width="26.1640625" style="78" customWidth="1"/>
    <col min="4" max="4" width="18.25" style="79" bestFit="1" customWidth="1"/>
    <col min="5" max="5" width="13.9140625" style="76" bestFit="1" customWidth="1"/>
    <col min="6" max="6" width="15.75" style="76" bestFit="1" customWidth="1"/>
    <col min="7" max="7" width="14" style="76" bestFit="1" customWidth="1"/>
    <col min="8" max="8" width="16.9140625" style="76" bestFit="1" customWidth="1"/>
    <col min="9" max="9" width="26.33203125" style="76" bestFit="1" customWidth="1"/>
    <col min="10" max="12" width="13.4140625" style="76" bestFit="1" customWidth="1"/>
    <col min="13" max="16384" width="13.4140625" style="76"/>
  </cols>
  <sheetData>
    <row r="1" spans="1:8" ht="31.5" customHeight="1" thickBot="1">
      <c r="A1" s="927" t="s">
        <v>1308</v>
      </c>
      <c r="B1" s="927"/>
      <c r="C1" s="927"/>
      <c r="D1" s="927"/>
      <c r="E1" s="927"/>
      <c r="F1" s="927"/>
      <c r="G1" s="927"/>
      <c r="H1" s="927"/>
    </row>
    <row r="2" spans="1:8" ht="15.5" customHeight="1">
      <c r="A2" s="955" t="s">
        <v>112</v>
      </c>
      <c r="B2" s="6" t="s">
        <v>420</v>
      </c>
      <c r="C2" s="852" t="s">
        <v>1330</v>
      </c>
      <c r="D2" s="852"/>
      <c r="E2" s="852"/>
      <c r="F2" s="852"/>
      <c r="G2" s="852"/>
      <c r="H2" s="852"/>
    </row>
    <row r="3" spans="1:8" ht="15" customHeight="1">
      <c r="A3" s="958"/>
      <c r="B3" s="11" t="s">
        <v>471</v>
      </c>
      <c r="C3" s="851" t="s">
        <v>1309</v>
      </c>
      <c r="D3" s="851"/>
      <c r="E3" s="851"/>
      <c r="F3" s="851"/>
      <c r="G3" s="851"/>
      <c r="H3" s="851"/>
    </row>
    <row r="4" spans="1:8" ht="16.5" thickBot="1">
      <c r="A4" s="958"/>
      <c r="B4" s="11" t="s">
        <v>407</v>
      </c>
      <c r="C4" s="717" t="s">
        <v>1312</v>
      </c>
      <c r="D4" s="718"/>
      <c r="E4" s="83"/>
      <c r="F4" s="83"/>
      <c r="G4" s="83"/>
      <c r="H4" s="84"/>
    </row>
    <row r="5" spans="1:8">
      <c r="A5" s="955"/>
      <c r="B5" s="11" t="s">
        <v>58</v>
      </c>
      <c r="C5" s="845" t="s">
        <v>1310</v>
      </c>
      <c r="D5" s="846"/>
      <c r="E5" s="85"/>
      <c r="F5" s="85"/>
      <c r="G5" s="85"/>
      <c r="H5" s="86"/>
    </row>
    <row r="6" spans="1:8">
      <c r="A6" s="958"/>
      <c r="B6" s="11" t="s">
        <v>53</v>
      </c>
      <c r="C6" s="845"/>
      <c r="D6" s="847"/>
      <c r="E6" s="85"/>
      <c r="F6" s="85"/>
      <c r="G6" s="85"/>
      <c r="H6" s="86"/>
    </row>
    <row r="7" spans="1:8">
      <c r="A7" s="937"/>
      <c r="B7" s="16" t="s">
        <v>99</v>
      </c>
      <c r="C7" s="87">
        <v>134823</v>
      </c>
      <c r="D7" s="840" t="s">
        <v>231</v>
      </c>
      <c r="E7" s="841"/>
      <c r="F7" s="470">
        <f>C7*0.3025/C9</f>
        <v>45.315508333333327</v>
      </c>
      <c r="G7" s="842" t="s">
        <v>522</v>
      </c>
      <c r="H7" s="843"/>
    </row>
    <row r="8" spans="1:8">
      <c r="A8" s="937"/>
      <c r="B8" s="16" t="s">
        <v>425</v>
      </c>
      <c r="C8" s="87">
        <v>21</v>
      </c>
      <c r="D8" s="88"/>
      <c r="E8" s="83"/>
      <c r="F8" s="83"/>
      <c r="G8" s="83"/>
      <c r="H8" s="84"/>
    </row>
    <row r="9" spans="1:8">
      <c r="A9" s="937"/>
      <c r="B9" s="16" t="s">
        <v>335</v>
      </c>
      <c r="C9" s="87">
        <v>900</v>
      </c>
      <c r="D9" s="89" t="s">
        <v>39</v>
      </c>
      <c r="E9" s="90">
        <f>C9/C11</f>
        <v>0.39491004826678366</v>
      </c>
      <c r="F9" s="88"/>
      <c r="G9" s="83"/>
      <c r="H9" s="84"/>
    </row>
    <row r="10" spans="1:8">
      <c r="A10" s="937"/>
      <c r="B10" s="16" t="s">
        <v>54</v>
      </c>
      <c r="C10" s="471">
        <f>C11-C9</f>
        <v>1379</v>
      </c>
      <c r="D10" s="89" t="s">
        <v>145</v>
      </c>
      <c r="E10" s="472">
        <f>C10/C11</f>
        <v>0.60508995173321634</v>
      </c>
      <c r="F10" s="848" t="s">
        <v>29</v>
      </c>
      <c r="G10" s="849"/>
      <c r="H10" s="850"/>
    </row>
    <row r="11" spans="1:8">
      <c r="A11" s="937"/>
      <c r="B11" s="16" t="s">
        <v>150</v>
      </c>
      <c r="C11" s="87">
        <v>2279</v>
      </c>
      <c r="D11" s="719" t="s">
        <v>309</v>
      </c>
      <c r="E11" s="83"/>
      <c r="F11" s="83"/>
      <c r="G11" s="83"/>
      <c r="H11" s="84"/>
    </row>
    <row r="12" spans="1:8">
      <c r="A12" s="937"/>
      <c r="B12" s="16" t="s">
        <v>427</v>
      </c>
      <c r="C12" s="92">
        <v>0.15329999999999999</v>
      </c>
      <c r="D12" s="93" t="s">
        <v>84</v>
      </c>
      <c r="E12" s="94">
        <f>C7*C12</f>
        <v>20668.365900000001</v>
      </c>
      <c r="F12" s="95" t="s">
        <v>41</v>
      </c>
      <c r="G12" s="96">
        <f>E13/E12</f>
        <v>17.013698630136986</v>
      </c>
      <c r="H12" s="97"/>
    </row>
    <row r="13" spans="1:8">
      <c r="A13" s="937"/>
      <c r="B13" s="16" t="s">
        <v>466</v>
      </c>
      <c r="C13" s="92">
        <v>2.6082000000000001</v>
      </c>
      <c r="D13" s="93" t="s">
        <v>91</v>
      </c>
      <c r="E13" s="98">
        <f>C7*C13</f>
        <v>351645.34860000003</v>
      </c>
      <c r="F13" s="95" t="s">
        <v>209</v>
      </c>
      <c r="G13" s="96">
        <f>E13*76%</f>
        <v>267250.464936</v>
      </c>
      <c r="H13" s="99"/>
    </row>
    <row r="14" spans="1:8">
      <c r="A14" s="937"/>
      <c r="B14" s="16" t="s">
        <v>208</v>
      </c>
      <c r="C14" s="100" t="s">
        <v>1311</v>
      </c>
      <c r="D14" s="88"/>
      <c r="E14" s="83"/>
      <c r="F14" s="840" t="s">
        <v>234</v>
      </c>
      <c r="G14" s="841"/>
      <c r="H14" s="477">
        <f>G13/C40</f>
        <v>1.525123635728634</v>
      </c>
    </row>
    <row r="15" spans="1:8" ht="15" customHeight="1">
      <c r="A15" s="937"/>
      <c r="B15" s="16" t="s">
        <v>441</v>
      </c>
      <c r="C15" s="101" t="s">
        <v>1333</v>
      </c>
      <c r="D15" s="102"/>
      <c r="E15" s="103"/>
      <c r="F15" s="848" t="s">
        <v>392</v>
      </c>
      <c r="G15" s="849"/>
      <c r="H15" s="850"/>
    </row>
    <row r="16" spans="1:8" ht="16.5" thickBot="1">
      <c r="A16" s="937"/>
      <c r="B16" s="32" t="s">
        <v>87</v>
      </c>
      <c r="C16" s="222" t="s">
        <v>1291</v>
      </c>
      <c r="D16" s="104"/>
      <c r="E16" s="83"/>
      <c r="F16" s="83"/>
      <c r="G16" s="83"/>
      <c r="H16" s="84"/>
    </row>
    <row r="17" spans="1:8" ht="15" customHeight="1" thickBot="1">
      <c r="A17" s="955"/>
      <c r="B17" s="844" t="s">
        <v>470</v>
      </c>
      <c r="C17" s="105"/>
      <c r="D17" s="105"/>
      <c r="E17" s="106"/>
      <c r="F17" s="106"/>
      <c r="G17" s="106"/>
      <c r="H17" s="107"/>
    </row>
    <row r="18" spans="1:8" ht="16.5" thickBot="1">
      <c r="A18" s="938"/>
      <c r="B18" s="844"/>
      <c r="C18" s="108"/>
      <c r="D18" s="109"/>
      <c r="E18" s="110"/>
      <c r="F18" s="110"/>
      <c r="G18" s="110"/>
      <c r="H18" s="111"/>
    </row>
    <row r="19" spans="1:8" ht="5.25" customHeight="1" thickBot="1">
      <c r="A19" s="112"/>
      <c r="B19" s="40"/>
      <c r="C19" s="113"/>
      <c r="D19" s="113"/>
      <c r="H19" s="114"/>
    </row>
    <row r="20" spans="1:8">
      <c r="A20" s="955" t="s">
        <v>49</v>
      </c>
      <c r="B20" s="43" t="s">
        <v>174</v>
      </c>
      <c r="C20" s="115" t="s">
        <v>1313</v>
      </c>
      <c r="D20" s="116"/>
      <c r="E20" s="117"/>
      <c r="F20" s="117"/>
      <c r="G20" s="117"/>
      <c r="H20" s="118"/>
    </row>
    <row r="21" spans="1:8" ht="16.5" thickBot="1">
      <c r="A21" s="956"/>
      <c r="B21" s="25" t="s">
        <v>65</v>
      </c>
      <c r="C21" s="119" t="s">
        <v>1313</v>
      </c>
      <c r="D21" s="120"/>
      <c r="E21" s="83"/>
      <c r="F21" s="83"/>
      <c r="G21" s="83"/>
      <c r="H21" s="84"/>
    </row>
    <row r="22" spans="1:8">
      <c r="A22" s="955"/>
      <c r="B22" s="25" t="s">
        <v>95</v>
      </c>
      <c r="C22" s="93" t="s">
        <v>1314</v>
      </c>
      <c r="D22" s="120"/>
      <c r="E22" s="83"/>
      <c r="F22" s="83"/>
      <c r="G22" s="83"/>
      <c r="H22" s="84"/>
    </row>
    <row r="23" spans="1:8" ht="16.5" thickBot="1">
      <c r="A23" s="956"/>
      <c r="B23" s="25" t="s">
        <v>1331</v>
      </c>
      <c r="C23" s="93" t="s">
        <v>1332</v>
      </c>
      <c r="D23" s="120"/>
      <c r="E23" s="83"/>
      <c r="F23" s="83"/>
      <c r="G23" s="83"/>
      <c r="H23" s="84"/>
    </row>
    <row r="24" spans="1:8">
      <c r="A24" s="955"/>
      <c r="B24" s="25" t="s">
        <v>59</v>
      </c>
      <c r="C24" s="93" t="s">
        <v>1315</v>
      </c>
      <c r="D24" s="120"/>
      <c r="E24" s="83"/>
      <c r="F24" s="83"/>
      <c r="G24" s="83"/>
      <c r="H24" s="84"/>
    </row>
    <row r="25" spans="1:8">
      <c r="A25" s="956"/>
      <c r="B25" s="25" t="s">
        <v>452</v>
      </c>
      <c r="C25" s="93" t="s">
        <v>1316</v>
      </c>
      <c r="D25" s="91"/>
      <c r="E25" s="83"/>
      <c r="F25" s="83"/>
      <c r="G25" s="83"/>
      <c r="H25" s="84"/>
    </row>
    <row r="26" spans="1:8">
      <c r="A26" s="956"/>
      <c r="B26" s="25" t="s">
        <v>445</v>
      </c>
      <c r="C26" s="93" t="s">
        <v>1317</v>
      </c>
      <c r="D26" s="91"/>
      <c r="E26" s="83"/>
      <c r="F26" s="83"/>
      <c r="G26" s="83"/>
      <c r="H26" s="84"/>
    </row>
    <row r="27" spans="1:8">
      <c r="A27" s="956"/>
      <c r="B27" s="25" t="s">
        <v>167</v>
      </c>
      <c r="C27" s="93" t="s">
        <v>1318</v>
      </c>
      <c r="D27" s="91"/>
      <c r="E27" s="83"/>
      <c r="F27" s="83"/>
      <c r="G27" s="83"/>
      <c r="H27" s="84"/>
    </row>
    <row r="28" spans="1:8" ht="16.5" thickBot="1">
      <c r="A28" s="957"/>
      <c r="B28" s="25" t="s">
        <v>447</v>
      </c>
      <c r="C28" s="93" t="s">
        <v>1319</v>
      </c>
      <c r="D28" s="123"/>
      <c r="E28" s="110"/>
      <c r="F28" s="110"/>
      <c r="G28" s="110"/>
      <c r="H28" s="111"/>
    </row>
    <row r="29" spans="1:8" ht="5.25" customHeight="1" thickBot="1">
      <c r="A29" s="112"/>
      <c r="B29" s="40"/>
      <c r="C29" s="3"/>
      <c r="H29" s="114"/>
    </row>
    <row r="30" spans="1:8" s="80" customFormat="1" ht="13.5" customHeight="1">
      <c r="A30" s="955" t="s">
        <v>160</v>
      </c>
      <c r="B30" s="124" t="s">
        <v>101</v>
      </c>
      <c r="C30" s="125" t="s">
        <v>48</v>
      </c>
      <c r="D30" s="126" t="s">
        <v>125</v>
      </c>
      <c r="E30" s="126" t="s">
        <v>434</v>
      </c>
      <c r="F30" s="126" t="s">
        <v>414</v>
      </c>
      <c r="G30" s="127" t="s">
        <v>465</v>
      </c>
      <c r="H30" s="127" t="s">
        <v>454</v>
      </c>
    </row>
    <row r="31" spans="1:8">
      <c r="A31" s="956"/>
      <c r="B31" s="129" t="s">
        <v>1028</v>
      </c>
      <c r="C31" s="130">
        <f>39*D31</f>
        <v>7722</v>
      </c>
      <c r="D31" s="87">
        <v>198</v>
      </c>
      <c r="E31" s="87" t="s">
        <v>436</v>
      </c>
      <c r="F31" s="87" t="s">
        <v>436</v>
      </c>
      <c r="G31" s="225" t="s">
        <v>436</v>
      </c>
      <c r="H31" s="131">
        <f>D31/$D$40</f>
        <v>8.6880210618692402E-2</v>
      </c>
    </row>
    <row r="32" spans="1:8">
      <c r="A32" s="956"/>
      <c r="B32" s="129" t="s">
        <v>1320</v>
      </c>
      <c r="C32" s="130">
        <f>49*D32</f>
        <v>9702</v>
      </c>
      <c r="D32" s="87">
        <v>198</v>
      </c>
      <c r="E32" s="87"/>
      <c r="F32" s="87"/>
      <c r="G32" s="225"/>
      <c r="H32" s="131">
        <f t="shared" ref="H32:H40" si="0">D32/$D$40</f>
        <v>8.6880210618692402E-2</v>
      </c>
    </row>
    <row r="33" spans="1:8">
      <c r="A33" s="956"/>
      <c r="B33" s="129" t="s">
        <v>1321</v>
      </c>
      <c r="C33" s="130">
        <f>59*D33</f>
        <v>15576</v>
      </c>
      <c r="D33" s="87">
        <v>264</v>
      </c>
      <c r="E33" s="87"/>
      <c r="F33" s="87"/>
      <c r="G33" s="223"/>
      <c r="H33" s="131">
        <f t="shared" si="0"/>
        <v>0.11584028082492322</v>
      </c>
    </row>
    <row r="34" spans="1:8">
      <c r="A34" s="958"/>
      <c r="B34" s="129" t="s">
        <v>1322</v>
      </c>
      <c r="C34" s="130">
        <f>84*D34</f>
        <v>78792</v>
      </c>
      <c r="D34" s="133">
        <v>938</v>
      </c>
      <c r="E34" s="87"/>
      <c r="F34" s="133"/>
      <c r="G34" s="223"/>
      <c r="H34" s="131">
        <f t="shared" si="0"/>
        <v>0.41158402808249234</v>
      </c>
    </row>
    <row r="35" spans="1:8">
      <c r="A35" s="958"/>
      <c r="B35" s="129" t="s">
        <v>1323</v>
      </c>
      <c r="C35" s="130">
        <f>84*D35</f>
        <v>24444</v>
      </c>
      <c r="D35" s="133">
        <v>291</v>
      </c>
      <c r="E35" s="87"/>
      <c r="F35" s="133"/>
      <c r="G35" s="223"/>
      <c r="H35" s="131">
        <f t="shared" si="0"/>
        <v>0.12768758227292673</v>
      </c>
    </row>
    <row r="36" spans="1:8">
      <c r="A36" s="958"/>
      <c r="B36" s="129" t="s">
        <v>1324</v>
      </c>
      <c r="C36" s="130">
        <f>84*D36</f>
        <v>15624</v>
      </c>
      <c r="D36" s="133">
        <v>186</v>
      </c>
      <c r="E36" s="87"/>
      <c r="F36" s="133"/>
      <c r="G36" s="223"/>
      <c r="H36" s="131">
        <f t="shared" si="0"/>
        <v>8.1614743308468629E-2</v>
      </c>
    </row>
    <row r="37" spans="1:8">
      <c r="A37" s="958"/>
      <c r="B37" s="129" t="s">
        <v>1325</v>
      </c>
      <c r="C37" s="130">
        <f>98*D37</f>
        <v>980</v>
      </c>
      <c r="D37" s="133">
        <v>10</v>
      </c>
      <c r="E37" s="87"/>
      <c r="F37" s="133"/>
      <c r="G37" s="223"/>
      <c r="H37" s="131">
        <f t="shared" si="0"/>
        <v>4.3878894251864857E-3</v>
      </c>
    </row>
    <row r="38" spans="1:8" ht="16.5" thickBot="1">
      <c r="A38" s="958"/>
      <c r="B38" s="129" t="s">
        <v>1326</v>
      </c>
      <c r="C38" s="130">
        <f>114*D38</f>
        <v>21432</v>
      </c>
      <c r="D38" s="133">
        <v>188</v>
      </c>
      <c r="E38" s="87"/>
      <c r="F38" s="133"/>
      <c r="G38" s="223"/>
      <c r="H38" s="131">
        <f t="shared" si="0"/>
        <v>8.2492321193505927E-2</v>
      </c>
    </row>
    <row r="39" spans="1:8">
      <c r="A39" s="955"/>
      <c r="B39" s="129" t="s">
        <v>1327</v>
      </c>
      <c r="C39" s="130">
        <f>160*D39</f>
        <v>960</v>
      </c>
      <c r="D39" s="133">
        <v>6</v>
      </c>
      <c r="E39" s="87"/>
      <c r="F39" s="133"/>
      <c r="G39" s="223"/>
      <c r="H39" s="131">
        <f t="shared" si="0"/>
        <v>2.6327336551118913E-3</v>
      </c>
    </row>
    <row r="40" spans="1:8" ht="16.5" thickBot="1">
      <c r="A40" s="957"/>
      <c r="B40" s="129" t="s">
        <v>462</v>
      </c>
      <c r="C40" s="57">
        <f t="shared" ref="C40:G40" si="1">SUM(C31:C39)</f>
        <v>175232</v>
      </c>
      <c r="D40" s="57">
        <f t="shared" si="1"/>
        <v>2279</v>
      </c>
      <c r="E40" s="57">
        <f t="shared" si="1"/>
        <v>0</v>
      </c>
      <c r="F40" s="57">
        <f t="shared" si="1"/>
        <v>0</v>
      </c>
      <c r="G40" s="57">
        <f t="shared" si="1"/>
        <v>0</v>
      </c>
      <c r="H40" s="131">
        <f t="shared" si="0"/>
        <v>1</v>
      </c>
    </row>
    <row r="41" spans="1:8" ht="6" customHeight="1" thickBot="1">
      <c r="A41" s="112"/>
      <c r="B41" s="40"/>
      <c r="C41" s="3"/>
      <c r="H41" s="114"/>
    </row>
    <row r="42" spans="1:8" s="77" customFormat="1" ht="15.5" customHeight="1" thickBot="1">
      <c r="A42" s="1043" t="s">
        <v>1084</v>
      </c>
      <c r="B42" s="124" t="s">
        <v>451</v>
      </c>
      <c r="C42" s="126" t="s">
        <v>839</v>
      </c>
      <c r="D42" s="126" t="s">
        <v>840</v>
      </c>
      <c r="E42" s="466" t="s">
        <v>43</v>
      </c>
      <c r="F42" s="126" t="s">
        <v>903</v>
      </c>
      <c r="G42" s="467" t="s">
        <v>172</v>
      </c>
      <c r="H42" s="137" t="s">
        <v>470</v>
      </c>
    </row>
    <row r="43" spans="1:8" ht="16.5" customHeight="1" thickBot="1">
      <c r="A43" s="1043"/>
      <c r="B43" s="129" t="s">
        <v>1028</v>
      </c>
      <c r="C43" s="138" t="s">
        <v>436</v>
      </c>
      <c r="D43" s="138" t="s">
        <v>436</v>
      </c>
      <c r="E43" s="362" t="e">
        <f>(D43-C43)*17</f>
        <v>#VALUE!</v>
      </c>
      <c r="F43" s="138" t="s">
        <v>436</v>
      </c>
      <c r="G43" s="362" t="e">
        <f>(F43-C43)*17</f>
        <v>#VALUE!</v>
      </c>
      <c r="H43" s="140" t="s">
        <v>449</v>
      </c>
    </row>
    <row r="44" spans="1:8" ht="16.5" customHeight="1" thickBot="1">
      <c r="A44" s="1043"/>
      <c r="B44" s="129" t="s">
        <v>1320</v>
      </c>
      <c r="C44" s="138"/>
      <c r="D44" s="138"/>
      <c r="E44" s="362">
        <f>(D44-C44)*25</f>
        <v>0</v>
      </c>
      <c r="F44" s="138"/>
      <c r="G44" s="362">
        <f>(F44-C44)*25</f>
        <v>0</v>
      </c>
      <c r="H44" s="140"/>
    </row>
    <row r="45" spans="1:8" ht="16.5" customHeight="1" thickBot="1">
      <c r="A45" s="1043"/>
      <c r="B45" s="129" t="s">
        <v>1321</v>
      </c>
      <c r="C45" s="726"/>
      <c r="D45" s="138"/>
      <c r="E45" s="362">
        <f>(D45-C45)*34</f>
        <v>0</v>
      </c>
      <c r="F45" s="726"/>
      <c r="G45" s="362">
        <f>(F45-C45)*34</f>
        <v>0</v>
      </c>
      <c r="H45" s="140"/>
    </row>
    <row r="46" spans="1:8" ht="16.5" customHeight="1" thickBot="1">
      <c r="A46" s="1043"/>
      <c r="B46" s="129" t="s">
        <v>1322</v>
      </c>
      <c r="C46" s="726">
        <v>8200000</v>
      </c>
      <c r="D46" s="138">
        <v>11000000</v>
      </c>
      <c r="E46" s="362">
        <f>(D46-C46)*57</f>
        <v>159600000</v>
      </c>
      <c r="F46" s="726">
        <v>9350000</v>
      </c>
      <c r="G46" s="362">
        <f>(F46-C46)*57</f>
        <v>65550000</v>
      </c>
      <c r="H46" s="140" t="s">
        <v>1329</v>
      </c>
    </row>
    <row r="47" spans="1:8" ht="16.5" customHeight="1" thickBot="1">
      <c r="A47" s="1043"/>
      <c r="B47" s="129" t="s">
        <v>1323</v>
      </c>
      <c r="C47" s="138"/>
      <c r="D47" s="138"/>
      <c r="E47" s="362">
        <f t="shared" ref="E47:E51" si="2">(D47-C47)*57</f>
        <v>0</v>
      </c>
      <c r="F47" s="138"/>
      <c r="G47" s="362">
        <f t="shared" ref="G47:G51" si="3">(F47-C47)*57</f>
        <v>0</v>
      </c>
      <c r="H47" s="140"/>
    </row>
    <row r="48" spans="1:8" ht="16.5" customHeight="1" thickBot="1">
      <c r="A48" s="1043"/>
      <c r="B48" s="129" t="s">
        <v>1324</v>
      </c>
      <c r="C48" s="138"/>
      <c r="D48" s="138"/>
      <c r="E48" s="362">
        <f t="shared" si="2"/>
        <v>0</v>
      </c>
      <c r="F48" s="138"/>
      <c r="G48" s="362">
        <f t="shared" si="3"/>
        <v>0</v>
      </c>
      <c r="H48" s="140"/>
    </row>
    <row r="49" spans="1:11" ht="16.5" customHeight="1" thickBot="1">
      <c r="A49" s="1043"/>
      <c r="B49" s="129" t="s">
        <v>1325</v>
      </c>
      <c r="C49" s="138"/>
      <c r="D49" s="138"/>
      <c r="E49" s="362">
        <f t="shared" si="2"/>
        <v>0</v>
      </c>
      <c r="F49" s="138"/>
      <c r="G49" s="362">
        <f t="shared" si="3"/>
        <v>0</v>
      </c>
      <c r="H49" s="140"/>
    </row>
    <row r="50" spans="1:11" ht="16.5" customHeight="1" thickBot="1">
      <c r="A50" s="1043"/>
      <c r="B50" s="129" t="s">
        <v>1326</v>
      </c>
      <c r="C50" s="138"/>
      <c r="D50" s="138"/>
      <c r="E50" s="362">
        <f t="shared" si="2"/>
        <v>0</v>
      </c>
      <c r="F50" s="138"/>
      <c r="G50" s="362">
        <f t="shared" si="3"/>
        <v>0</v>
      </c>
      <c r="H50" s="140"/>
    </row>
    <row r="51" spans="1:11" ht="16.5" customHeight="1" thickBot="1">
      <c r="A51" s="1043"/>
      <c r="B51" s="129" t="s">
        <v>1327</v>
      </c>
      <c r="C51" s="138"/>
      <c r="D51" s="138"/>
      <c r="E51" s="362">
        <f t="shared" si="2"/>
        <v>0</v>
      </c>
      <c r="F51" s="138"/>
      <c r="G51" s="362">
        <f t="shared" si="3"/>
        <v>0</v>
      </c>
      <c r="H51" s="140"/>
    </row>
    <row r="52" spans="1:11" ht="5.25" customHeight="1" thickBot="1">
      <c r="A52" s="142"/>
      <c r="B52" s="143"/>
      <c r="C52" s="144"/>
      <c r="D52" s="144"/>
      <c r="E52" s="145"/>
      <c r="F52" s="144"/>
      <c r="G52" s="145"/>
      <c r="H52" s="146"/>
    </row>
    <row r="53" spans="1:11" ht="60.15" customHeight="1">
      <c r="A53" s="952" t="s">
        <v>286</v>
      </c>
      <c r="B53" s="126" t="s">
        <v>101</v>
      </c>
      <c r="C53" s="508" t="s">
        <v>1393</v>
      </c>
      <c r="D53" s="147" t="s">
        <v>247</v>
      </c>
      <c r="E53" s="468" t="s">
        <v>322</v>
      </c>
      <c r="F53" s="147" t="s">
        <v>222</v>
      </c>
      <c r="G53" s="468" t="s">
        <v>367</v>
      </c>
      <c r="H53" s="126" t="s">
        <v>1136</v>
      </c>
      <c r="I53" s="1000" t="s">
        <v>1206</v>
      </c>
    </row>
    <row r="54" spans="1:11">
      <c r="A54" s="953"/>
      <c r="B54" s="129" t="s">
        <v>1028</v>
      </c>
      <c r="C54" s="148" t="s">
        <v>436</v>
      </c>
      <c r="D54" s="139" t="e">
        <f t="shared" ref="D54:D62" si="4">E43</f>
        <v>#VALUE!</v>
      </c>
      <c r="E54" s="362" t="e">
        <f t="shared" ref="E54:E62" si="5">D54-C54</f>
        <v>#VALUE!</v>
      </c>
      <c r="F54" s="139" t="e">
        <f t="shared" ref="F54:F62" si="6">G43</f>
        <v>#VALUE!</v>
      </c>
      <c r="G54" s="362" t="e">
        <f t="shared" ref="G54:G62" si="7">F54-C54</f>
        <v>#VALUE!</v>
      </c>
      <c r="H54" s="739" t="s">
        <v>449</v>
      </c>
      <c r="I54" s="1001"/>
    </row>
    <row r="55" spans="1:11">
      <c r="A55" s="953"/>
      <c r="B55" s="129" t="s">
        <v>1320</v>
      </c>
      <c r="C55" s="148"/>
      <c r="D55" s="139">
        <f t="shared" si="4"/>
        <v>0</v>
      </c>
      <c r="E55" s="362">
        <f t="shared" si="5"/>
        <v>0</v>
      </c>
      <c r="F55" s="139">
        <f t="shared" si="6"/>
        <v>0</v>
      </c>
      <c r="G55" s="362">
        <f t="shared" si="7"/>
        <v>0</v>
      </c>
      <c r="H55" s="739"/>
      <c r="I55" s="1001"/>
    </row>
    <row r="56" spans="1:11" ht="17" customHeight="1">
      <c r="A56" s="953"/>
      <c r="B56" s="129" t="s">
        <v>1321</v>
      </c>
      <c r="C56" s="148"/>
      <c r="D56" s="139">
        <f t="shared" si="4"/>
        <v>0</v>
      </c>
      <c r="E56" s="362">
        <f t="shared" si="5"/>
        <v>0</v>
      </c>
      <c r="F56" s="139">
        <f t="shared" si="6"/>
        <v>0</v>
      </c>
      <c r="G56" s="362">
        <f t="shared" si="7"/>
        <v>0</v>
      </c>
      <c r="H56" s="62"/>
      <c r="I56" s="1002"/>
    </row>
    <row r="57" spans="1:11" ht="17">
      <c r="A57" s="953"/>
      <c r="B57" s="129" t="s">
        <v>1322</v>
      </c>
      <c r="C57" s="148">
        <v>130000000</v>
      </c>
      <c r="D57" s="139">
        <f t="shared" si="4"/>
        <v>159600000</v>
      </c>
      <c r="E57" s="362">
        <f t="shared" si="5"/>
        <v>29600000</v>
      </c>
      <c r="F57" s="139">
        <f t="shared" si="6"/>
        <v>65550000</v>
      </c>
      <c r="G57" s="362">
        <f t="shared" si="7"/>
        <v>-64450000</v>
      </c>
      <c r="H57" s="62">
        <f>(C57+(C46*34))/34</f>
        <v>12023529.411764706</v>
      </c>
      <c r="I57" s="807">
        <f>H57/F46</f>
        <v>1.2859389745202894</v>
      </c>
    </row>
    <row r="58" spans="1:11">
      <c r="A58" s="953"/>
      <c r="B58" s="129" t="s">
        <v>1323</v>
      </c>
      <c r="C58" s="148"/>
      <c r="D58" s="139">
        <f t="shared" si="4"/>
        <v>0</v>
      </c>
      <c r="E58" s="362">
        <f t="shared" si="5"/>
        <v>0</v>
      </c>
      <c r="F58" s="139">
        <f t="shared" si="6"/>
        <v>0</v>
      </c>
      <c r="G58" s="362">
        <f t="shared" si="7"/>
        <v>0</v>
      </c>
      <c r="H58" s="739"/>
      <c r="I58" s="140"/>
    </row>
    <row r="59" spans="1:11">
      <c r="A59" s="953"/>
      <c r="B59" s="129" t="s">
        <v>1324</v>
      </c>
      <c r="C59" s="148"/>
      <c r="D59" s="139">
        <f t="shared" si="4"/>
        <v>0</v>
      </c>
      <c r="E59" s="362">
        <f t="shared" si="5"/>
        <v>0</v>
      </c>
      <c r="F59" s="139">
        <f t="shared" si="6"/>
        <v>0</v>
      </c>
      <c r="G59" s="362">
        <f t="shared" si="7"/>
        <v>0</v>
      </c>
      <c r="H59" s="739"/>
      <c r="I59" s="140"/>
    </row>
    <row r="60" spans="1:11">
      <c r="A60" s="953"/>
      <c r="B60" s="129" t="s">
        <v>1325</v>
      </c>
      <c r="C60" s="148"/>
      <c r="D60" s="139">
        <f t="shared" si="4"/>
        <v>0</v>
      </c>
      <c r="E60" s="362">
        <f t="shared" si="5"/>
        <v>0</v>
      </c>
      <c r="F60" s="139">
        <f t="shared" si="6"/>
        <v>0</v>
      </c>
      <c r="G60" s="362">
        <f t="shared" si="7"/>
        <v>0</v>
      </c>
      <c r="H60" s="95"/>
      <c r="I60" s="140"/>
    </row>
    <row r="61" spans="1:11">
      <c r="A61" s="953"/>
      <c r="B61" s="129" t="s">
        <v>1326</v>
      </c>
      <c r="C61" s="148"/>
      <c r="D61" s="139">
        <f t="shared" si="4"/>
        <v>0</v>
      </c>
      <c r="E61" s="362">
        <f t="shared" si="5"/>
        <v>0</v>
      </c>
      <c r="F61" s="139">
        <f t="shared" si="6"/>
        <v>0</v>
      </c>
      <c r="G61" s="362">
        <f t="shared" si="7"/>
        <v>0</v>
      </c>
      <c r="H61" s="739"/>
      <c r="I61" s="140"/>
    </row>
    <row r="62" spans="1:11" ht="16.5" thickBot="1">
      <c r="A62" s="954"/>
      <c r="B62" s="164" t="s">
        <v>1327</v>
      </c>
      <c r="C62" s="240"/>
      <c r="D62" s="179">
        <f t="shared" si="4"/>
        <v>0</v>
      </c>
      <c r="E62" s="363">
        <f t="shared" si="5"/>
        <v>0</v>
      </c>
      <c r="F62" s="179">
        <f t="shared" si="6"/>
        <v>0</v>
      </c>
      <c r="G62" s="363">
        <f t="shared" si="7"/>
        <v>0</v>
      </c>
      <c r="H62" s="740"/>
      <c r="I62" s="180"/>
    </row>
    <row r="63" spans="1:11" s="1" customFormat="1" ht="22.75" customHeight="1">
      <c r="A63" s="1039" t="s">
        <v>1334</v>
      </c>
      <c r="B63" s="737" t="s">
        <v>599</v>
      </c>
      <c r="C63" s="738" t="s">
        <v>857</v>
      </c>
      <c r="D63" s="1040" t="s">
        <v>600</v>
      </c>
      <c r="E63" s="1041"/>
      <c r="F63" s="1041"/>
      <c r="G63" s="1041"/>
      <c r="H63" s="1042"/>
      <c r="I63" s="5"/>
      <c r="J63" s="5"/>
      <c r="K63" s="5"/>
    </row>
    <row r="64" spans="1:11" s="1" customFormat="1" ht="22.75" customHeight="1">
      <c r="A64" s="1015"/>
      <c r="B64" s="165" t="s">
        <v>613</v>
      </c>
      <c r="C64" s="708">
        <v>1000</v>
      </c>
      <c r="D64" s="492"/>
      <c r="H64" s="42"/>
      <c r="I64" s="509"/>
      <c r="J64" s="509"/>
      <c r="K64" s="509"/>
    </row>
    <row r="65" spans="1:8" s="1" customFormat="1" ht="22.75" customHeight="1">
      <c r="A65" s="1016"/>
      <c r="B65" s="165" t="s">
        <v>601</v>
      </c>
      <c r="C65" s="627">
        <v>1000</v>
      </c>
      <c r="D65" s="492"/>
      <c r="H65" s="42"/>
    </row>
    <row r="66" spans="1:8" s="1" customFormat="1" ht="22.75" customHeight="1">
      <c r="A66" s="1016"/>
      <c r="B66" s="165" t="s">
        <v>602</v>
      </c>
      <c r="C66" s="627">
        <v>1200</v>
      </c>
      <c r="D66" s="492"/>
      <c r="H66" s="42"/>
    </row>
    <row r="67" spans="1:8" s="1" customFormat="1" ht="22.75" customHeight="1">
      <c r="A67" s="1016"/>
      <c r="B67" s="165" t="s">
        <v>603</v>
      </c>
      <c r="C67" s="627">
        <v>1100</v>
      </c>
      <c r="D67" s="492"/>
      <c r="H67" s="42"/>
    </row>
    <row r="68" spans="1:8" s="1" customFormat="1" ht="22.75" customHeight="1">
      <c r="A68" s="1016"/>
      <c r="B68" s="165" t="s">
        <v>604</v>
      </c>
      <c r="C68" s="627">
        <v>1202</v>
      </c>
      <c r="D68" s="492"/>
      <c r="H68" s="42"/>
    </row>
    <row r="69" spans="1:8" s="1" customFormat="1" ht="22.75" customHeight="1">
      <c r="A69" s="1016"/>
      <c r="B69" s="165" t="s">
        <v>1176</v>
      </c>
      <c r="C69" s="627">
        <f>H57/10000</f>
        <v>1202.3529411764705</v>
      </c>
      <c r="D69" s="492"/>
      <c r="H69" s="42"/>
    </row>
    <row r="70" spans="1:8" s="1" customFormat="1" ht="22.75" customHeight="1">
      <c r="A70" s="1016"/>
      <c r="B70" s="165" t="s">
        <v>1182</v>
      </c>
      <c r="C70" s="627"/>
      <c r="D70" s="492"/>
      <c r="H70" s="42"/>
    </row>
    <row r="71" spans="1:8" s="1" customFormat="1" ht="22.75" customHeight="1">
      <c r="A71" s="1016"/>
      <c r="B71" s="165" t="s">
        <v>1183</v>
      </c>
      <c r="C71" s="627"/>
      <c r="D71" s="492"/>
      <c r="H71" s="42"/>
    </row>
    <row r="72" spans="1:8" s="1" customFormat="1" ht="22.25" customHeight="1">
      <c r="A72" s="1016"/>
      <c r="B72" s="165" t="s">
        <v>1170</v>
      </c>
      <c r="C72" s="627"/>
      <c r="D72" s="492"/>
      <c r="H72" s="42"/>
    </row>
    <row r="73" spans="1:8" s="1" customFormat="1" ht="22.75" customHeight="1" thickBot="1">
      <c r="A73" s="1017"/>
      <c r="B73" s="490" t="s">
        <v>853</v>
      </c>
      <c r="C73" s="628"/>
      <c r="D73" s="493"/>
      <c r="E73" s="486"/>
      <c r="F73" s="486"/>
      <c r="G73" s="486"/>
      <c r="H73" s="487"/>
    </row>
    <row r="74" spans="1:8" ht="4" customHeight="1" thickBot="1"/>
    <row r="75" spans="1:8">
      <c r="A75" s="826" t="s">
        <v>650</v>
      </c>
      <c r="B75" s="564"/>
      <c r="C75" s="565"/>
      <c r="D75" s="566"/>
      <c r="E75" s="559"/>
      <c r="F75" s="559"/>
      <c r="G75" s="559"/>
      <c r="H75" s="567"/>
    </row>
    <row r="76" spans="1:8" ht="15" customHeight="1">
      <c r="A76" s="827"/>
      <c r="B76" s="206"/>
      <c r="H76" s="114"/>
    </row>
    <row r="77" spans="1:8" ht="15" customHeight="1">
      <c r="A77" s="827"/>
      <c r="B77" s="206"/>
      <c r="H77" s="114"/>
    </row>
    <row r="78" spans="1:8" ht="15" customHeight="1">
      <c r="A78" s="827"/>
      <c r="B78" s="206"/>
      <c r="H78" s="114"/>
    </row>
    <row r="79" spans="1:8" ht="15" customHeight="1">
      <c r="A79" s="827"/>
      <c r="B79" s="206"/>
      <c r="H79" s="114"/>
    </row>
    <row r="80" spans="1:8" ht="16.5" thickBot="1">
      <c r="A80" s="828"/>
      <c r="B80" s="568"/>
      <c r="C80" s="569"/>
      <c r="D80" s="570"/>
      <c r="E80" s="571"/>
      <c r="F80" s="571"/>
      <c r="G80" s="571"/>
      <c r="H80" s="572"/>
    </row>
  </sheetData>
  <mergeCells count="20">
    <mergeCell ref="A1:H1"/>
    <mergeCell ref="A2:A18"/>
    <mergeCell ref="C2:H2"/>
    <mergeCell ref="C3:H3"/>
    <mergeCell ref="C5:D5"/>
    <mergeCell ref="C6:D6"/>
    <mergeCell ref="D7:E7"/>
    <mergeCell ref="G7:H7"/>
    <mergeCell ref="F10:H10"/>
    <mergeCell ref="F14:G14"/>
    <mergeCell ref="A63:A73"/>
    <mergeCell ref="D63:H63"/>
    <mergeCell ref="A75:A80"/>
    <mergeCell ref="I53:I56"/>
    <mergeCell ref="F15:H15"/>
    <mergeCell ref="B17:B18"/>
    <mergeCell ref="A20:A28"/>
    <mergeCell ref="A30:A40"/>
    <mergeCell ref="A42:A51"/>
    <mergeCell ref="A53:A62"/>
  </mergeCells>
  <phoneticPr fontId="16" type="noConversion"/>
  <pageMargins left="0.69972223043441772" right="0.69972223043441772" top="0.75" bottom="0.75" header="0.30000001192092896" footer="0.30000001192092896"/>
  <pageSetup paperSize="9" scale="53" orientation="portrait" horizontalDpi="4294967293" verticalDpi="4294967293" r:id="rId1"/>
  <rowBreaks count="2" manualBreakCount="2">
    <brk id="83" max="1048575" man="1"/>
    <brk id="89" max="1048575" man="1"/>
  </rowBreaks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CC"/>
  </sheetPr>
  <dimension ref="A1:K75"/>
  <sheetViews>
    <sheetView showGridLines="0" topLeftCell="A55" zoomScale="85" zoomScaleNormal="85" zoomScaleSheetLayoutView="85" workbookViewId="0">
      <selection activeCell="I60" sqref="I60"/>
    </sheetView>
  </sheetViews>
  <sheetFormatPr defaultColWidth="13.4140625" defaultRowHeight="16"/>
  <cols>
    <col min="1" max="1" width="15.9140625" style="76" bestFit="1" customWidth="1"/>
    <col min="2" max="2" width="18.5" style="77" bestFit="1" customWidth="1"/>
    <col min="3" max="3" width="20" style="78" bestFit="1" customWidth="1"/>
    <col min="4" max="4" width="18.25" style="79" bestFit="1" customWidth="1"/>
    <col min="5" max="5" width="13.9140625" style="76" bestFit="1" customWidth="1"/>
    <col min="6" max="6" width="15.75" style="76" bestFit="1" customWidth="1"/>
    <col min="7" max="7" width="14" style="76" bestFit="1" customWidth="1"/>
    <col min="8" max="8" width="16.9140625" style="76" bestFit="1" customWidth="1"/>
    <col min="9" max="9" width="26.33203125" style="76" bestFit="1" customWidth="1"/>
    <col min="10" max="12" width="13.4140625" style="76" bestFit="1" customWidth="1"/>
    <col min="13" max="16384" width="13.4140625" style="76"/>
  </cols>
  <sheetData>
    <row r="1" spans="1:8" ht="31.5" customHeight="1" thickBot="1">
      <c r="A1" s="927" t="s">
        <v>1335</v>
      </c>
      <c r="B1" s="927"/>
      <c r="C1" s="927"/>
      <c r="D1" s="927"/>
      <c r="E1" s="927"/>
      <c r="F1" s="927"/>
      <c r="G1" s="927"/>
      <c r="H1" s="927"/>
    </row>
    <row r="2" spans="1:8" ht="15.5" customHeight="1">
      <c r="A2" s="955" t="s">
        <v>112</v>
      </c>
      <c r="B2" s="6" t="s">
        <v>420</v>
      </c>
      <c r="C2" s="852" t="s">
        <v>1291</v>
      </c>
      <c r="D2" s="852"/>
      <c r="E2" s="852"/>
      <c r="F2" s="852"/>
      <c r="G2" s="852"/>
      <c r="H2" s="852"/>
    </row>
    <row r="3" spans="1:8" ht="15" customHeight="1">
      <c r="A3" s="958"/>
      <c r="B3" s="11" t="s">
        <v>471</v>
      </c>
      <c r="C3" s="851" t="s">
        <v>1340</v>
      </c>
      <c r="D3" s="851"/>
      <c r="E3" s="851"/>
      <c r="F3" s="851"/>
      <c r="G3" s="851"/>
      <c r="H3" s="851"/>
    </row>
    <row r="4" spans="1:8" ht="16.5" thickBot="1">
      <c r="A4" s="958"/>
      <c r="B4" s="11" t="s">
        <v>407</v>
      </c>
      <c r="C4" s="717" t="s">
        <v>1337</v>
      </c>
      <c r="D4" s="718"/>
      <c r="E4" s="83"/>
      <c r="F4" s="83"/>
      <c r="G4" s="83"/>
      <c r="H4" s="84"/>
    </row>
    <row r="5" spans="1:8">
      <c r="A5" s="955"/>
      <c r="B5" s="11" t="s">
        <v>58</v>
      </c>
      <c r="C5" s="845" t="s">
        <v>263</v>
      </c>
      <c r="D5" s="846"/>
      <c r="E5" s="85"/>
      <c r="F5" s="85"/>
      <c r="G5" s="85"/>
      <c r="H5" s="86"/>
    </row>
    <row r="6" spans="1:8">
      <c r="A6" s="958"/>
      <c r="B6" s="11" t="s">
        <v>53</v>
      </c>
      <c r="C6" s="845">
        <v>255359.7</v>
      </c>
      <c r="D6" s="847"/>
      <c r="E6" s="85"/>
      <c r="F6" s="85"/>
      <c r="G6" s="85"/>
      <c r="H6" s="86"/>
    </row>
    <row r="7" spans="1:8">
      <c r="A7" s="937"/>
      <c r="B7" s="16" t="s">
        <v>99</v>
      </c>
      <c r="C7" s="87">
        <v>255359.7</v>
      </c>
      <c r="D7" s="840" t="s">
        <v>231</v>
      </c>
      <c r="E7" s="841"/>
      <c r="F7" s="470">
        <f>C7*0.3025/C9</f>
        <v>28.609744166666669</v>
      </c>
      <c r="G7" s="842" t="s">
        <v>522</v>
      </c>
      <c r="H7" s="843"/>
    </row>
    <row r="8" spans="1:8">
      <c r="A8" s="937"/>
      <c r="B8" s="16" t="s">
        <v>425</v>
      </c>
      <c r="C8" s="87" t="s">
        <v>1291</v>
      </c>
      <c r="D8" s="88"/>
      <c r="E8" s="83"/>
      <c r="F8" s="83"/>
      <c r="G8" s="83"/>
      <c r="H8" s="84"/>
    </row>
    <row r="9" spans="1:8">
      <c r="A9" s="937"/>
      <c r="B9" s="16" t="s">
        <v>335</v>
      </c>
      <c r="C9" s="87">
        <v>2700</v>
      </c>
      <c r="D9" s="89" t="s">
        <v>39</v>
      </c>
      <c r="E9" s="90">
        <f>C9/C11</f>
        <v>0.61503416856492032</v>
      </c>
      <c r="F9" s="88"/>
      <c r="G9" s="83"/>
      <c r="H9" s="84"/>
    </row>
    <row r="10" spans="1:8">
      <c r="A10" s="937"/>
      <c r="B10" s="16" t="s">
        <v>54</v>
      </c>
      <c r="C10" s="471">
        <f>C11-C9</f>
        <v>1690</v>
      </c>
      <c r="D10" s="89" t="s">
        <v>145</v>
      </c>
      <c r="E10" s="760">
        <f>C10/C11</f>
        <v>0.38496583143507973</v>
      </c>
      <c r="F10" s="848" t="s">
        <v>29</v>
      </c>
      <c r="G10" s="849"/>
      <c r="H10" s="850"/>
    </row>
    <row r="11" spans="1:8">
      <c r="A11" s="937"/>
      <c r="B11" s="16" t="s">
        <v>150</v>
      </c>
      <c r="C11" s="87">
        <v>4390</v>
      </c>
      <c r="D11" s="719" t="s">
        <v>1341</v>
      </c>
      <c r="E11" s="83"/>
      <c r="F11" s="83"/>
      <c r="G11" s="83"/>
      <c r="H11" s="84"/>
    </row>
    <row r="12" spans="1:8">
      <c r="A12" s="937"/>
      <c r="B12" s="16" t="s">
        <v>427</v>
      </c>
      <c r="C12" s="92" t="s">
        <v>1291</v>
      </c>
      <c r="D12" s="93" t="s">
        <v>84</v>
      </c>
      <c r="E12" s="94" t="e">
        <f>C7*C12</f>
        <v>#VALUE!</v>
      </c>
      <c r="F12" s="95" t="s">
        <v>41</v>
      </c>
      <c r="G12" s="96" t="e">
        <f>E13/E12</f>
        <v>#VALUE!</v>
      </c>
      <c r="H12" s="97"/>
    </row>
    <row r="13" spans="1:8">
      <c r="A13" s="937"/>
      <c r="B13" s="16" t="s">
        <v>466</v>
      </c>
      <c r="C13" s="92" t="s">
        <v>1291</v>
      </c>
      <c r="D13" s="93" t="s">
        <v>91</v>
      </c>
      <c r="E13" s="98" t="e">
        <f>C7*C13</f>
        <v>#VALUE!</v>
      </c>
      <c r="F13" s="95" t="s">
        <v>209</v>
      </c>
      <c r="G13" s="96" t="e">
        <f>E13*76%</f>
        <v>#VALUE!</v>
      </c>
      <c r="H13" s="99"/>
    </row>
    <row r="14" spans="1:8">
      <c r="A14" s="937"/>
      <c r="B14" s="16" t="s">
        <v>208</v>
      </c>
      <c r="C14" s="100" t="s">
        <v>1291</v>
      </c>
      <c r="D14" s="88"/>
      <c r="E14" s="83"/>
      <c r="F14" s="840" t="s">
        <v>234</v>
      </c>
      <c r="G14" s="841"/>
      <c r="H14" s="477" t="e">
        <f>G13/C35</f>
        <v>#VALUE!</v>
      </c>
    </row>
    <row r="15" spans="1:8" ht="15" customHeight="1">
      <c r="A15" s="937"/>
      <c r="B15" s="16" t="s">
        <v>441</v>
      </c>
      <c r="C15" s="101" t="s">
        <v>1336</v>
      </c>
      <c r="D15" s="102"/>
      <c r="E15" s="103"/>
      <c r="F15" s="848" t="s">
        <v>392</v>
      </c>
      <c r="G15" s="849"/>
      <c r="H15" s="850"/>
    </row>
    <row r="16" spans="1:8" ht="16.5" thickBot="1">
      <c r="A16" s="937"/>
      <c r="B16" s="32" t="s">
        <v>87</v>
      </c>
      <c r="C16" s="222"/>
      <c r="D16" s="104"/>
      <c r="E16" s="83"/>
      <c r="F16" s="83"/>
      <c r="G16" s="83"/>
      <c r="H16" s="84"/>
    </row>
    <row r="17" spans="1:8" ht="15" customHeight="1" thickBot="1">
      <c r="A17" s="955"/>
      <c r="B17" s="844" t="s">
        <v>470</v>
      </c>
      <c r="C17" s="105"/>
      <c r="D17" s="105"/>
      <c r="E17" s="106"/>
      <c r="F17" s="106"/>
      <c r="G17" s="106"/>
      <c r="H17" s="107"/>
    </row>
    <row r="18" spans="1:8" ht="16.5" thickBot="1">
      <c r="A18" s="938"/>
      <c r="B18" s="844"/>
      <c r="C18" s="108"/>
      <c r="D18" s="109"/>
      <c r="E18" s="110"/>
      <c r="F18" s="110"/>
      <c r="G18" s="110"/>
      <c r="H18" s="111"/>
    </row>
    <row r="19" spans="1:8" ht="5.25" customHeight="1" thickBot="1">
      <c r="A19" s="112"/>
      <c r="B19" s="40"/>
      <c r="C19" s="113"/>
      <c r="D19" s="113"/>
      <c r="H19" s="114"/>
    </row>
    <row r="20" spans="1:8">
      <c r="A20" s="955" t="s">
        <v>49</v>
      </c>
      <c r="B20" s="43" t="s">
        <v>174</v>
      </c>
      <c r="C20" s="115" t="s">
        <v>1338</v>
      </c>
      <c r="D20" s="116"/>
      <c r="E20" s="117"/>
      <c r="F20" s="117"/>
      <c r="G20" s="117"/>
      <c r="H20" s="118"/>
    </row>
    <row r="21" spans="1:8" ht="16.5" thickBot="1">
      <c r="A21" s="956"/>
      <c r="B21" s="25" t="s">
        <v>65</v>
      </c>
      <c r="C21" s="119" t="s">
        <v>1339</v>
      </c>
      <c r="D21" s="120"/>
      <c r="E21" s="83"/>
      <c r="F21" s="83"/>
      <c r="G21" s="83"/>
      <c r="H21" s="84"/>
    </row>
    <row r="22" spans="1:8">
      <c r="A22" s="955"/>
      <c r="B22" s="25" t="s">
        <v>95</v>
      </c>
      <c r="C22" s="93" t="s">
        <v>1342</v>
      </c>
      <c r="D22" s="120"/>
      <c r="E22" s="83"/>
      <c r="F22" s="83"/>
      <c r="G22" s="83"/>
      <c r="H22" s="84"/>
    </row>
    <row r="23" spans="1:8" ht="16.5" thickBot="1">
      <c r="A23" s="956"/>
      <c r="B23" s="25" t="s">
        <v>59</v>
      </c>
      <c r="C23" s="93" t="s">
        <v>1316</v>
      </c>
      <c r="D23" s="120"/>
      <c r="E23" s="83"/>
      <c r="F23" s="83"/>
      <c r="G23" s="83"/>
      <c r="H23" s="84"/>
    </row>
    <row r="24" spans="1:8">
      <c r="A24" s="955"/>
      <c r="B24" s="25" t="s">
        <v>452</v>
      </c>
      <c r="C24" s="93" t="s">
        <v>1317</v>
      </c>
      <c r="D24" s="120"/>
      <c r="E24" s="83"/>
      <c r="F24" s="83"/>
      <c r="G24" s="83"/>
      <c r="H24" s="84"/>
    </row>
    <row r="25" spans="1:8">
      <c r="A25" s="956"/>
      <c r="B25" s="25" t="s">
        <v>445</v>
      </c>
      <c r="C25" s="93" t="s">
        <v>1318</v>
      </c>
      <c r="D25" s="91"/>
      <c r="E25" s="83"/>
      <c r="F25" s="83"/>
      <c r="G25" s="83"/>
      <c r="H25" s="84"/>
    </row>
    <row r="26" spans="1:8">
      <c r="A26" s="956"/>
      <c r="B26" s="25" t="s">
        <v>167</v>
      </c>
      <c r="C26" s="93" t="s">
        <v>1343</v>
      </c>
      <c r="D26" s="91"/>
      <c r="E26" s="83"/>
      <c r="F26" s="83"/>
      <c r="G26" s="83"/>
      <c r="H26" s="84"/>
    </row>
    <row r="27" spans="1:8">
      <c r="A27" s="956"/>
      <c r="B27" s="25" t="s">
        <v>447</v>
      </c>
      <c r="C27" s="93" t="s">
        <v>1344</v>
      </c>
      <c r="D27" s="91"/>
      <c r="E27" s="83"/>
      <c r="F27" s="83"/>
      <c r="G27" s="83"/>
      <c r="H27" s="84"/>
    </row>
    <row r="28" spans="1:8" ht="16.5" thickBot="1">
      <c r="A28" s="957"/>
      <c r="B28" s="25"/>
      <c r="C28" s="720"/>
      <c r="D28" s="123"/>
      <c r="E28" s="110"/>
      <c r="F28" s="110"/>
      <c r="G28" s="110"/>
      <c r="H28" s="111"/>
    </row>
    <row r="29" spans="1:8" ht="5.25" customHeight="1" thickBot="1">
      <c r="A29" s="112"/>
      <c r="B29" s="40"/>
      <c r="C29" s="3"/>
      <c r="H29" s="114"/>
    </row>
    <row r="30" spans="1:8" s="80" customFormat="1" ht="13.5" customHeight="1">
      <c r="A30" s="955" t="s">
        <v>160</v>
      </c>
      <c r="B30" s="124" t="s">
        <v>101</v>
      </c>
      <c r="C30" s="125" t="s">
        <v>48</v>
      </c>
      <c r="D30" s="126" t="s">
        <v>125</v>
      </c>
      <c r="E30" s="126" t="s">
        <v>434</v>
      </c>
      <c r="F30" s="126" t="s">
        <v>414</v>
      </c>
      <c r="G30" s="127" t="s">
        <v>465</v>
      </c>
      <c r="H30" s="127" t="s">
        <v>454</v>
      </c>
    </row>
    <row r="31" spans="1:8">
      <c r="A31" s="956"/>
      <c r="B31" s="129"/>
      <c r="C31" s="130"/>
      <c r="D31" s="87"/>
      <c r="E31" s="87" t="s">
        <v>436</v>
      </c>
      <c r="F31" s="87" t="s">
        <v>436</v>
      </c>
      <c r="G31" s="225" t="s">
        <v>436</v>
      </c>
      <c r="H31" s="131" t="e">
        <f>D31/$D$35</f>
        <v>#DIV/0!</v>
      </c>
    </row>
    <row r="32" spans="1:8">
      <c r="A32" s="956"/>
      <c r="B32" s="129"/>
      <c r="C32" s="130"/>
      <c r="D32" s="87"/>
      <c r="E32" s="87"/>
      <c r="F32" s="87"/>
      <c r="G32" s="223"/>
      <c r="H32" s="131" t="e">
        <f>D32/$D$35</f>
        <v>#DIV/0!</v>
      </c>
    </row>
    <row r="33" spans="1:9" ht="16.5" thickBot="1">
      <c r="A33" s="958"/>
      <c r="B33" s="129"/>
      <c r="C33" s="130"/>
      <c r="D33" s="133"/>
      <c r="E33" s="87"/>
      <c r="F33" s="133"/>
      <c r="G33" s="223"/>
      <c r="H33" s="131" t="e">
        <f>D33/$D$35</f>
        <v>#DIV/0!</v>
      </c>
    </row>
    <row r="34" spans="1:9">
      <c r="A34" s="955"/>
      <c r="B34" s="129"/>
      <c r="C34" s="130"/>
      <c r="D34" s="133"/>
      <c r="E34" s="87"/>
      <c r="F34" s="133"/>
      <c r="G34" s="223"/>
      <c r="H34" s="131" t="e">
        <f>D34/$D$35</f>
        <v>#DIV/0!</v>
      </c>
    </row>
    <row r="35" spans="1:9" ht="16.5" thickBot="1">
      <c r="A35" s="957"/>
      <c r="B35" s="129" t="s">
        <v>462</v>
      </c>
      <c r="C35" s="57">
        <f t="shared" ref="C35:H35" si="0">SUM(C31:C34)</f>
        <v>0</v>
      </c>
      <c r="D35" s="57">
        <f t="shared" si="0"/>
        <v>0</v>
      </c>
      <c r="E35" s="57">
        <f t="shared" si="0"/>
        <v>0</v>
      </c>
      <c r="F35" s="57">
        <f t="shared" si="0"/>
        <v>0</v>
      </c>
      <c r="G35" s="224">
        <f t="shared" si="0"/>
        <v>0</v>
      </c>
      <c r="H35" s="135" t="e">
        <f t="shared" si="0"/>
        <v>#DIV/0!</v>
      </c>
    </row>
    <row r="36" spans="1:9" ht="6" customHeight="1" thickBot="1">
      <c r="A36" s="112"/>
      <c r="B36" s="40"/>
      <c r="C36" s="3"/>
      <c r="H36" s="114"/>
    </row>
    <row r="37" spans="1:9" s="77" customFormat="1" ht="15.5" customHeight="1" thickBot="1">
      <c r="A37" s="1043" t="s">
        <v>1084</v>
      </c>
      <c r="B37" s="124" t="s">
        <v>451</v>
      </c>
      <c r="C37" s="126" t="s">
        <v>839</v>
      </c>
      <c r="D37" s="126" t="s">
        <v>840</v>
      </c>
      <c r="E37" s="466" t="s">
        <v>43</v>
      </c>
      <c r="F37" s="126" t="s">
        <v>903</v>
      </c>
      <c r="G37" s="467" t="s">
        <v>172</v>
      </c>
      <c r="H37" s="137" t="s">
        <v>470</v>
      </c>
    </row>
    <row r="38" spans="1:9" ht="16.5" customHeight="1" thickBot="1">
      <c r="A38" s="1043"/>
      <c r="B38" s="129"/>
      <c r="C38" s="138" t="s">
        <v>436</v>
      </c>
      <c r="D38" s="138" t="s">
        <v>436</v>
      </c>
      <c r="E38" s="362" t="e">
        <f>(D38-C38)*17</f>
        <v>#VALUE!</v>
      </c>
      <c r="F38" s="138" t="s">
        <v>436</v>
      </c>
      <c r="G38" s="362" t="e">
        <f>(F38-C38)*17</f>
        <v>#VALUE!</v>
      </c>
      <c r="H38" s="140" t="s">
        <v>449</v>
      </c>
    </row>
    <row r="39" spans="1:9" ht="16.5" customHeight="1" thickBot="1">
      <c r="A39" s="1043"/>
      <c r="B39" s="129"/>
      <c r="C39" s="138"/>
      <c r="D39" s="138"/>
      <c r="E39" s="362">
        <f>(D39-C39)*25</f>
        <v>0</v>
      </c>
      <c r="F39" s="138"/>
      <c r="G39" s="362">
        <f>(F39-C39)*25</f>
        <v>0</v>
      </c>
      <c r="H39" s="140"/>
    </row>
    <row r="40" spans="1:9" ht="16.5" customHeight="1" thickBot="1">
      <c r="A40" s="1043"/>
      <c r="B40" s="129" t="s">
        <v>1082</v>
      </c>
      <c r="C40" s="726">
        <f>F40*70%</f>
        <v>12831000</v>
      </c>
      <c r="D40" s="138">
        <f>F40-2000000</f>
        <v>16330000</v>
      </c>
      <c r="E40" s="362">
        <f>(D40-C40)*34</f>
        <v>118966000</v>
      </c>
      <c r="F40" s="726">
        <v>18330000</v>
      </c>
      <c r="G40" s="362">
        <f>(F40-C40)*34</f>
        <v>186966000</v>
      </c>
      <c r="H40" s="140" t="s">
        <v>1346</v>
      </c>
    </row>
    <row r="41" spans="1:9" ht="16.5" customHeight="1" thickBot="1">
      <c r="A41" s="1043"/>
      <c r="B41" s="129"/>
      <c r="C41" s="138"/>
      <c r="D41" s="138"/>
      <c r="E41" s="362">
        <f>(D41-C41)*57</f>
        <v>0</v>
      </c>
      <c r="F41" s="138"/>
      <c r="G41" s="362">
        <f>(F41-C41)*57</f>
        <v>0</v>
      </c>
      <c r="H41" s="140"/>
    </row>
    <row r="42" spans="1:9" ht="16.5" customHeight="1" thickBot="1">
      <c r="A42" s="1043"/>
      <c r="B42" s="129"/>
      <c r="C42" s="138"/>
      <c r="D42" s="138"/>
      <c r="E42" s="362"/>
      <c r="F42" s="138"/>
      <c r="G42" s="362"/>
      <c r="H42" s="140"/>
    </row>
    <row r="43" spans="1:9" ht="16.5" customHeight="1" thickBot="1">
      <c r="A43" s="1043"/>
      <c r="B43" s="129"/>
      <c r="C43" s="138"/>
      <c r="D43" s="138"/>
      <c r="E43" s="362"/>
      <c r="F43" s="138"/>
      <c r="G43" s="362"/>
      <c r="H43" s="140"/>
    </row>
    <row r="44" spans="1:9" ht="16.5" customHeight="1" thickBot="1">
      <c r="A44" s="1043"/>
      <c r="B44" s="129"/>
      <c r="C44" s="138"/>
      <c r="D44" s="138"/>
      <c r="E44" s="362"/>
      <c r="F44" s="138"/>
      <c r="G44" s="362"/>
      <c r="H44" s="140"/>
    </row>
    <row r="45" spans="1:9" ht="16.5" customHeight="1" thickBot="1">
      <c r="A45" s="1043"/>
      <c r="B45" s="129"/>
      <c r="C45" s="138"/>
      <c r="D45" s="138"/>
      <c r="E45" s="362"/>
      <c r="F45" s="138"/>
      <c r="G45" s="362"/>
      <c r="H45" s="140"/>
    </row>
    <row r="46" spans="1:9" ht="16.5" customHeight="1" thickBot="1">
      <c r="A46" s="1043"/>
      <c r="B46" s="129"/>
      <c r="C46" s="138"/>
      <c r="D46" s="138"/>
      <c r="E46" s="362"/>
      <c r="F46" s="138"/>
      <c r="G46" s="362"/>
      <c r="H46" s="140"/>
    </row>
    <row r="47" spans="1:9" ht="5.25" customHeight="1" thickBot="1">
      <c r="A47" s="142"/>
      <c r="B47" s="143"/>
      <c r="C47" s="144"/>
      <c r="D47" s="144"/>
      <c r="E47" s="145"/>
      <c r="F47" s="144"/>
      <c r="G47" s="145"/>
      <c r="H47" s="146"/>
    </row>
    <row r="48" spans="1:9" ht="60.15" customHeight="1">
      <c r="A48" s="952" t="s">
        <v>286</v>
      </c>
      <c r="B48" s="126" t="s">
        <v>101</v>
      </c>
      <c r="C48" s="511" t="s">
        <v>1392</v>
      </c>
      <c r="D48" s="147" t="s">
        <v>247</v>
      </c>
      <c r="E48" s="468" t="s">
        <v>322</v>
      </c>
      <c r="F48" s="147" t="s">
        <v>222</v>
      </c>
      <c r="G48" s="468" t="s">
        <v>367</v>
      </c>
      <c r="H48" s="126" t="s">
        <v>1136</v>
      </c>
      <c r="I48" s="824" t="s">
        <v>1206</v>
      </c>
    </row>
    <row r="49" spans="1:11">
      <c r="A49" s="953"/>
      <c r="B49" s="213"/>
      <c r="C49" s="148" t="s">
        <v>436</v>
      </c>
      <c r="D49" s="139" t="e">
        <f t="shared" ref="D49:D57" si="1">E38</f>
        <v>#VALUE!</v>
      </c>
      <c r="E49" s="362" t="e">
        <f t="shared" ref="E49:E57" si="2">D49-C49</f>
        <v>#VALUE!</v>
      </c>
      <c r="F49" s="139" t="e">
        <f t="shared" ref="F49:F57" si="3">G38</f>
        <v>#VALUE!</v>
      </c>
      <c r="G49" s="362" t="e">
        <f t="shared" ref="G49:G57" si="4">F49-C49</f>
        <v>#VALUE!</v>
      </c>
      <c r="H49" s="739" t="s">
        <v>449</v>
      </c>
      <c r="I49" s="825"/>
    </row>
    <row r="50" spans="1:11">
      <c r="A50" s="953"/>
      <c r="B50" s="213"/>
      <c r="C50" s="148"/>
      <c r="D50" s="139">
        <f t="shared" si="1"/>
        <v>0</v>
      </c>
      <c r="E50" s="362">
        <f t="shared" si="2"/>
        <v>0</v>
      </c>
      <c r="F50" s="139">
        <f t="shared" si="3"/>
        <v>0</v>
      </c>
      <c r="G50" s="362">
        <f t="shared" si="4"/>
        <v>0</v>
      </c>
      <c r="H50" s="739"/>
      <c r="I50" s="825"/>
    </row>
    <row r="51" spans="1:11" ht="17">
      <c r="A51" s="953"/>
      <c r="B51" s="213" t="s">
        <v>1082</v>
      </c>
      <c r="C51" s="148">
        <v>170000000</v>
      </c>
      <c r="D51" s="139">
        <f t="shared" si="1"/>
        <v>118966000</v>
      </c>
      <c r="E51" s="362">
        <f t="shared" si="2"/>
        <v>-51034000</v>
      </c>
      <c r="F51" s="139">
        <f t="shared" si="3"/>
        <v>186966000</v>
      </c>
      <c r="G51" s="362">
        <f t="shared" si="4"/>
        <v>16966000</v>
      </c>
      <c r="H51" s="62">
        <f>(C51+(C40*34))/34</f>
        <v>17831000</v>
      </c>
      <c r="I51" s="751">
        <f>H51/F40</f>
        <v>0.97277686852154932</v>
      </c>
    </row>
    <row r="52" spans="1:11">
      <c r="A52" s="953"/>
      <c r="B52" s="213"/>
      <c r="C52" s="148"/>
      <c r="D52" s="139">
        <f t="shared" si="1"/>
        <v>0</v>
      </c>
      <c r="E52" s="362">
        <f t="shared" si="2"/>
        <v>0</v>
      </c>
      <c r="F52" s="139">
        <f t="shared" si="3"/>
        <v>0</v>
      </c>
      <c r="G52" s="362">
        <f t="shared" si="4"/>
        <v>0</v>
      </c>
      <c r="H52" s="739"/>
      <c r="I52" s="140"/>
    </row>
    <row r="53" spans="1:11">
      <c r="A53" s="953"/>
      <c r="B53" s="213"/>
      <c r="C53" s="148"/>
      <c r="D53" s="139">
        <f t="shared" si="1"/>
        <v>0</v>
      </c>
      <c r="E53" s="362">
        <f t="shared" si="2"/>
        <v>0</v>
      </c>
      <c r="F53" s="139">
        <f t="shared" si="3"/>
        <v>0</v>
      </c>
      <c r="G53" s="362">
        <f t="shared" si="4"/>
        <v>0</v>
      </c>
      <c r="H53" s="739"/>
      <c r="I53" s="140"/>
    </row>
    <row r="54" spans="1:11">
      <c r="A54" s="953"/>
      <c r="B54" s="213"/>
      <c r="C54" s="148"/>
      <c r="D54" s="139">
        <f t="shared" si="1"/>
        <v>0</v>
      </c>
      <c r="E54" s="362">
        <f t="shared" si="2"/>
        <v>0</v>
      </c>
      <c r="F54" s="139">
        <f t="shared" si="3"/>
        <v>0</v>
      </c>
      <c r="G54" s="362">
        <f t="shared" si="4"/>
        <v>0</v>
      </c>
      <c r="H54" s="739"/>
      <c r="I54" s="140"/>
    </row>
    <row r="55" spans="1:11">
      <c r="A55" s="953"/>
      <c r="B55" s="213"/>
      <c r="C55" s="148"/>
      <c r="D55" s="139">
        <f t="shared" si="1"/>
        <v>0</v>
      </c>
      <c r="E55" s="362">
        <f t="shared" si="2"/>
        <v>0</v>
      </c>
      <c r="F55" s="139">
        <f t="shared" si="3"/>
        <v>0</v>
      </c>
      <c r="G55" s="362">
        <f t="shared" si="4"/>
        <v>0</v>
      </c>
      <c r="H55" s="95"/>
      <c r="I55" s="140"/>
    </row>
    <row r="56" spans="1:11">
      <c r="A56" s="953"/>
      <c r="B56" s="213"/>
      <c r="C56" s="148"/>
      <c r="D56" s="139">
        <f t="shared" si="1"/>
        <v>0</v>
      </c>
      <c r="E56" s="362">
        <f t="shared" si="2"/>
        <v>0</v>
      </c>
      <c r="F56" s="139">
        <f t="shared" si="3"/>
        <v>0</v>
      </c>
      <c r="G56" s="362">
        <f t="shared" si="4"/>
        <v>0</v>
      </c>
      <c r="H56" s="739"/>
      <c r="I56" s="140"/>
    </row>
    <row r="57" spans="1:11" ht="16.5" thickBot="1">
      <c r="A57" s="954"/>
      <c r="B57" s="175"/>
      <c r="C57" s="240"/>
      <c r="D57" s="179">
        <f t="shared" si="1"/>
        <v>0</v>
      </c>
      <c r="E57" s="363">
        <f t="shared" si="2"/>
        <v>0</v>
      </c>
      <c r="F57" s="179">
        <f t="shared" si="3"/>
        <v>0</v>
      </c>
      <c r="G57" s="363">
        <f t="shared" si="4"/>
        <v>0</v>
      </c>
      <c r="H57" s="740"/>
      <c r="I57" s="180"/>
    </row>
    <row r="58" spans="1:11" s="1" customFormat="1" ht="22.75" customHeight="1">
      <c r="A58" s="1039" t="s">
        <v>598</v>
      </c>
      <c r="B58" s="737" t="s">
        <v>599</v>
      </c>
      <c r="C58" s="738" t="s">
        <v>857</v>
      </c>
      <c r="D58" s="1040" t="s">
        <v>600</v>
      </c>
      <c r="E58" s="1041"/>
      <c r="F58" s="1041"/>
      <c r="G58" s="1041"/>
      <c r="H58" s="1042"/>
      <c r="I58" s="5"/>
      <c r="J58" s="5"/>
      <c r="K58" s="5"/>
    </row>
    <row r="59" spans="1:11" s="1" customFormat="1" ht="22.75" customHeight="1">
      <c r="A59" s="1015"/>
      <c r="B59" s="165" t="s">
        <v>613</v>
      </c>
      <c r="C59" s="708">
        <v>938</v>
      </c>
      <c r="D59" s="492"/>
      <c r="H59" s="42"/>
      <c r="I59" s="509"/>
      <c r="J59" s="509"/>
      <c r="K59" s="509"/>
    </row>
    <row r="60" spans="1:11" s="1" customFormat="1" ht="22.75" customHeight="1">
      <c r="A60" s="1016"/>
      <c r="B60" s="165" t="s">
        <v>601</v>
      </c>
      <c r="C60" s="627">
        <v>1100</v>
      </c>
      <c r="D60" s="492"/>
      <c r="H60" s="42"/>
    </row>
    <row r="61" spans="1:11" s="1" customFormat="1" ht="22.75" customHeight="1">
      <c r="A61" s="1016"/>
      <c r="B61" s="165" t="s">
        <v>602</v>
      </c>
      <c r="C61" s="627">
        <v>1291</v>
      </c>
      <c r="D61" s="492"/>
      <c r="H61" s="42"/>
    </row>
    <row r="62" spans="1:11" s="1" customFormat="1" ht="22.75" customHeight="1">
      <c r="A62" s="1016"/>
      <c r="B62" s="165" t="s">
        <v>603</v>
      </c>
      <c r="C62" s="627">
        <v>1232</v>
      </c>
      <c r="D62" s="492"/>
      <c r="H62" s="42"/>
    </row>
    <row r="63" spans="1:11" s="1" customFormat="1" ht="22.75" customHeight="1">
      <c r="A63" s="1016"/>
      <c r="B63" s="165" t="s">
        <v>604</v>
      </c>
      <c r="C63" s="627">
        <v>1857</v>
      </c>
      <c r="D63" s="492"/>
      <c r="H63" s="42"/>
    </row>
    <row r="64" spans="1:11" s="1" customFormat="1" ht="22.75" customHeight="1">
      <c r="A64" s="1016"/>
      <c r="B64" s="165" t="s">
        <v>1176</v>
      </c>
      <c r="C64" s="627">
        <f>H51/10000</f>
        <v>1783.1</v>
      </c>
      <c r="D64" s="492"/>
      <c r="H64" s="42"/>
    </row>
    <row r="65" spans="1:8" s="1" customFormat="1" ht="22.75" customHeight="1">
      <c r="A65" s="1016"/>
      <c r="B65" s="165" t="s">
        <v>1182</v>
      </c>
      <c r="C65" s="627"/>
      <c r="D65" s="492"/>
      <c r="H65" s="42"/>
    </row>
    <row r="66" spans="1:8" s="1" customFormat="1" ht="22.75" customHeight="1">
      <c r="A66" s="1016"/>
      <c r="B66" s="165" t="s">
        <v>1183</v>
      </c>
      <c r="C66" s="627"/>
      <c r="D66" s="492"/>
      <c r="H66" s="42"/>
    </row>
    <row r="67" spans="1:8" s="1" customFormat="1" ht="22.25" customHeight="1">
      <c r="A67" s="1016"/>
      <c r="B67" s="165" t="s">
        <v>1170</v>
      </c>
      <c r="C67" s="627"/>
      <c r="D67" s="492"/>
      <c r="H67" s="42"/>
    </row>
    <row r="68" spans="1:8" s="1" customFormat="1" ht="22.75" customHeight="1" thickBot="1">
      <c r="A68" s="1017"/>
      <c r="B68" s="490" t="s">
        <v>853</v>
      </c>
      <c r="C68" s="628"/>
      <c r="D68" s="493"/>
      <c r="E68" s="486"/>
      <c r="F68" s="486"/>
      <c r="G68" s="486"/>
      <c r="H68" s="487"/>
    </row>
    <row r="69" spans="1:8" ht="4" customHeight="1" thickBot="1"/>
    <row r="70" spans="1:8" ht="17">
      <c r="A70" s="826" t="s">
        <v>650</v>
      </c>
      <c r="B70" s="564" t="s">
        <v>1186</v>
      </c>
      <c r="C70" s="565"/>
      <c r="D70" s="566"/>
      <c r="E70" s="559"/>
      <c r="F70" s="559"/>
      <c r="G70" s="559"/>
      <c r="H70" s="567"/>
    </row>
    <row r="71" spans="1:8" ht="15" customHeight="1">
      <c r="A71" s="827"/>
      <c r="B71" s="206"/>
      <c r="H71" s="114"/>
    </row>
    <row r="72" spans="1:8" ht="15" customHeight="1">
      <c r="A72" s="827"/>
      <c r="B72" s="206"/>
      <c r="H72" s="114"/>
    </row>
    <row r="73" spans="1:8" ht="15" customHeight="1">
      <c r="A73" s="827"/>
      <c r="B73" s="206"/>
      <c r="H73" s="114"/>
    </row>
    <row r="74" spans="1:8" ht="15" customHeight="1">
      <c r="A74" s="827"/>
      <c r="B74" s="206"/>
      <c r="H74" s="114"/>
    </row>
    <row r="75" spans="1:8" ht="16.5" thickBot="1">
      <c r="A75" s="828"/>
      <c r="B75" s="568"/>
      <c r="C75" s="569"/>
      <c r="D75" s="570"/>
      <c r="E75" s="571"/>
      <c r="F75" s="571"/>
      <c r="G75" s="571"/>
      <c r="H75" s="572"/>
    </row>
  </sheetData>
  <mergeCells count="20">
    <mergeCell ref="A1:H1"/>
    <mergeCell ref="A2:A18"/>
    <mergeCell ref="C2:H2"/>
    <mergeCell ref="C3:H3"/>
    <mergeCell ref="C5:D5"/>
    <mergeCell ref="C6:D6"/>
    <mergeCell ref="D7:E7"/>
    <mergeCell ref="G7:H7"/>
    <mergeCell ref="F10:H10"/>
    <mergeCell ref="F14:G14"/>
    <mergeCell ref="I48:I50"/>
    <mergeCell ref="A58:A68"/>
    <mergeCell ref="D58:H58"/>
    <mergeCell ref="A70:A75"/>
    <mergeCell ref="F15:H15"/>
    <mergeCell ref="B17:B18"/>
    <mergeCell ref="A20:A28"/>
    <mergeCell ref="A30:A35"/>
    <mergeCell ref="A37:A46"/>
    <mergeCell ref="A48:A57"/>
  </mergeCells>
  <phoneticPr fontId="16" type="noConversion"/>
  <pageMargins left="0.69972223043441772" right="0.69972223043441772" top="0.75" bottom="0.75" header="0.30000001192092896" footer="0.30000001192092896"/>
  <pageSetup paperSize="9" scale="53" orientation="portrait" horizontalDpi="4294967293" verticalDpi="4294967293" r:id="rId1"/>
  <rowBreaks count="2" manualBreakCount="2">
    <brk id="83" max="1048575" man="1"/>
    <brk id="89" max="1048575" man="1"/>
  </rowBreaks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CC"/>
  </sheetPr>
  <dimension ref="A1:K74"/>
  <sheetViews>
    <sheetView showGridLines="0" topLeftCell="A28" zoomScale="85" zoomScaleNormal="85" zoomScaleSheetLayoutView="85" workbookViewId="0">
      <selection activeCell="I67" sqref="I67"/>
    </sheetView>
  </sheetViews>
  <sheetFormatPr defaultColWidth="13.4140625" defaultRowHeight="16"/>
  <cols>
    <col min="1" max="1" width="15.9140625" style="76" bestFit="1" customWidth="1"/>
    <col min="2" max="2" width="18.5" style="77" bestFit="1" customWidth="1"/>
    <col min="3" max="3" width="20" style="78" bestFit="1" customWidth="1"/>
    <col min="4" max="4" width="18.25" style="79" bestFit="1" customWidth="1"/>
    <col min="5" max="5" width="13.9140625" style="76" bestFit="1" customWidth="1"/>
    <col min="6" max="6" width="15.75" style="76" bestFit="1" customWidth="1"/>
    <col min="7" max="7" width="14" style="76" bestFit="1" customWidth="1"/>
    <col min="8" max="8" width="16.9140625" style="76" bestFit="1" customWidth="1"/>
    <col min="9" max="9" width="26.33203125" style="76" bestFit="1" customWidth="1"/>
    <col min="10" max="12" width="13.4140625" style="76" bestFit="1" customWidth="1"/>
    <col min="13" max="16384" width="13.4140625" style="76"/>
  </cols>
  <sheetData>
    <row r="1" spans="1:8" ht="31.5" customHeight="1" thickBot="1">
      <c r="A1" s="927" t="s">
        <v>1396</v>
      </c>
      <c r="B1" s="927"/>
      <c r="C1" s="927"/>
      <c r="D1" s="927"/>
      <c r="E1" s="927"/>
      <c r="F1" s="927"/>
      <c r="G1" s="927"/>
      <c r="H1" s="927"/>
    </row>
    <row r="2" spans="1:8" ht="15.5" customHeight="1">
      <c r="A2" s="955" t="s">
        <v>112</v>
      </c>
      <c r="B2" s="6" t="s">
        <v>420</v>
      </c>
      <c r="C2" s="852" t="s">
        <v>721</v>
      </c>
      <c r="D2" s="852"/>
      <c r="E2" s="852"/>
      <c r="F2" s="852"/>
      <c r="G2" s="852"/>
      <c r="H2" s="852"/>
    </row>
    <row r="3" spans="1:8" ht="15" customHeight="1">
      <c r="A3" s="958"/>
      <c r="B3" s="11" t="s">
        <v>471</v>
      </c>
      <c r="C3" s="851" t="s">
        <v>1397</v>
      </c>
      <c r="D3" s="851"/>
      <c r="E3" s="851"/>
      <c r="F3" s="851"/>
      <c r="G3" s="851"/>
      <c r="H3" s="851"/>
    </row>
    <row r="4" spans="1:8" ht="16.5" thickBot="1">
      <c r="A4" s="958"/>
      <c r="B4" s="11" t="s">
        <v>407</v>
      </c>
      <c r="C4" s="797" t="s">
        <v>1425</v>
      </c>
      <c r="D4" s="798"/>
      <c r="E4" s="83"/>
      <c r="F4" s="83"/>
      <c r="G4" s="83"/>
      <c r="H4" s="84"/>
    </row>
    <row r="5" spans="1:8">
      <c r="A5" s="955"/>
      <c r="B5" s="11" t="s">
        <v>58</v>
      </c>
      <c r="C5" s="845" t="s">
        <v>1398</v>
      </c>
      <c r="D5" s="846"/>
      <c r="E5" s="85"/>
      <c r="F5" s="85"/>
      <c r="G5" s="85"/>
      <c r="H5" s="86"/>
    </row>
    <row r="6" spans="1:8">
      <c r="A6" s="958"/>
      <c r="B6" s="11" t="s">
        <v>53</v>
      </c>
      <c r="C6" s="845">
        <v>64610</v>
      </c>
      <c r="D6" s="847"/>
      <c r="E6" s="85"/>
      <c r="F6" s="85"/>
      <c r="G6" s="85"/>
      <c r="H6" s="86"/>
    </row>
    <row r="7" spans="1:8">
      <c r="A7" s="937"/>
      <c r="B7" s="16" t="s">
        <v>99</v>
      </c>
      <c r="C7" s="87">
        <v>63972</v>
      </c>
      <c r="D7" s="840" t="s">
        <v>231</v>
      </c>
      <c r="E7" s="841"/>
      <c r="F7" s="470">
        <f>C7*0.3025/C9</f>
        <v>38.703060000000001</v>
      </c>
      <c r="G7" s="842" t="s">
        <v>522</v>
      </c>
      <c r="H7" s="843"/>
    </row>
    <row r="8" spans="1:8">
      <c r="A8" s="937"/>
      <c r="B8" s="16" t="s">
        <v>425</v>
      </c>
      <c r="C8" s="87">
        <v>15</v>
      </c>
      <c r="D8" s="88"/>
      <c r="E8" s="83"/>
      <c r="F8" s="83"/>
      <c r="G8" s="83"/>
      <c r="H8" s="84"/>
    </row>
    <row r="9" spans="1:8">
      <c r="A9" s="937"/>
      <c r="B9" s="16" t="s">
        <v>335</v>
      </c>
      <c r="C9" s="87">
        <v>500</v>
      </c>
      <c r="D9" s="89" t="s">
        <v>39</v>
      </c>
      <c r="E9" s="90">
        <f>C9/C11</f>
        <v>0.4230118443316413</v>
      </c>
      <c r="F9" s="88"/>
      <c r="G9" s="83"/>
      <c r="H9" s="84"/>
    </row>
    <row r="10" spans="1:8">
      <c r="A10" s="937"/>
      <c r="B10" s="16" t="s">
        <v>54</v>
      </c>
      <c r="C10" s="471">
        <f>C11-C9</f>
        <v>682</v>
      </c>
      <c r="D10" s="89" t="s">
        <v>145</v>
      </c>
      <c r="E10" s="760">
        <f>C10/C11</f>
        <v>0.5769881556683587</v>
      </c>
      <c r="F10" s="848" t="s">
        <v>29</v>
      </c>
      <c r="G10" s="849"/>
      <c r="H10" s="850"/>
    </row>
    <row r="11" spans="1:8">
      <c r="A11" s="937"/>
      <c r="B11" s="16" t="s">
        <v>150</v>
      </c>
      <c r="C11" s="87">
        <v>1182</v>
      </c>
      <c r="D11" s="799" t="s">
        <v>1412</v>
      </c>
      <c r="E11" s="83"/>
      <c r="F11" s="83"/>
      <c r="G11" s="83"/>
      <c r="H11" s="84"/>
    </row>
    <row r="12" spans="1:8">
      <c r="A12" s="937"/>
      <c r="B12" s="16" t="s">
        <v>427</v>
      </c>
      <c r="C12" s="92">
        <v>0.1888</v>
      </c>
      <c r="D12" s="93" t="s">
        <v>84</v>
      </c>
      <c r="E12" s="94">
        <f>C7*C12</f>
        <v>12077.9136</v>
      </c>
      <c r="F12" s="95" t="s">
        <v>41</v>
      </c>
      <c r="G12" s="96">
        <f>E13/E12</f>
        <v>11.433792372881355</v>
      </c>
      <c r="H12" s="97"/>
    </row>
    <row r="13" spans="1:8">
      <c r="A13" s="937"/>
      <c r="B13" s="16" t="s">
        <v>466</v>
      </c>
      <c r="C13" s="92">
        <v>2.1587000000000001</v>
      </c>
      <c r="D13" s="93" t="s">
        <v>91</v>
      </c>
      <c r="E13" s="98">
        <f>C7*C13</f>
        <v>138096.35639999999</v>
      </c>
      <c r="F13" s="95" t="s">
        <v>209</v>
      </c>
      <c r="G13" s="96">
        <f>E13*76%</f>
        <v>104953.230864</v>
      </c>
      <c r="H13" s="99"/>
    </row>
    <row r="14" spans="1:8">
      <c r="A14" s="937"/>
      <c r="B14" s="16" t="s">
        <v>208</v>
      </c>
      <c r="C14" s="100" t="s">
        <v>1401</v>
      </c>
      <c r="D14" s="88"/>
      <c r="E14" s="83"/>
      <c r="F14" s="840" t="s">
        <v>234</v>
      </c>
      <c r="G14" s="841"/>
      <c r="H14" s="477">
        <f>G13/C38</f>
        <v>1.2422264802575513</v>
      </c>
    </row>
    <row r="15" spans="1:8" ht="15" customHeight="1">
      <c r="A15" s="937"/>
      <c r="B15" s="16" t="s">
        <v>441</v>
      </c>
      <c r="C15" s="101"/>
      <c r="D15" s="102"/>
      <c r="E15" s="103"/>
      <c r="F15" s="848" t="s">
        <v>392</v>
      </c>
      <c r="G15" s="849"/>
      <c r="H15" s="850"/>
    </row>
    <row r="16" spans="1:8" ht="16.5" thickBot="1">
      <c r="A16" s="937"/>
      <c r="B16" s="32" t="s">
        <v>87</v>
      </c>
      <c r="C16" s="222"/>
      <c r="D16" s="104"/>
      <c r="E16" s="83"/>
      <c r="F16" s="83"/>
      <c r="G16" s="83"/>
      <c r="H16" s="84"/>
    </row>
    <row r="17" spans="1:8" ht="15" customHeight="1" thickBot="1">
      <c r="A17" s="955"/>
      <c r="B17" s="844" t="s">
        <v>470</v>
      </c>
      <c r="C17" s="105" t="s">
        <v>1400</v>
      </c>
      <c r="D17" s="105" t="s">
        <v>1399</v>
      </c>
      <c r="E17" s="106"/>
      <c r="F17" s="106"/>
      <c r="G17" s="106"/>
      <c r="H17" s="107"/>
    </row>
    <row r="18" spans="1:8" ht="16.5" thickBot="1">
      <c r="A18" s="938"/>
      <c r="B18" s="844"/>
      <c r="C18" s="108"/>
      <c r="D18" s="109"/>
      <c r="E18" s="110"/>
      <c r="F18" s="110"/>
      <c r="G18" s="110"/>
      <c r="H18" s="111"/>
    </row>
    <row r="19" spans="1:8" ht="5.25" customHeight="1" thickBot="1">
      <c r="A19" s="112"/>
      <c r="B19" s="40"/>
      <c r="C19" s="113"/>
      <c r="D19" s="113"/>
      <c r="H19" s="114"/>
    </row>
    <row r="20" spans="1:8">
      <c r="A20" s="955" t="s">
        <v>49</v>
      </c>
      <c r="B20" s="43" t="s">
        <v>174</v>
      </c>
      <c r="C20" s="801" t="s">
        <v>1405</v>
      </c>
      <c r="D20" s="116"/>
      <c r="E20" s="117"/>
      <c r="F20" s="117"/>
      <c r="G20" s="117"/>
      <c r="H20" s="118"/>
    </row>
    <row r="21" spans="1:8" ht="16.5" thickBot="1">
      <c r="A21" s="956"/>
      <c r="B21" s="25" t="s">
        <v>1403</v>
      </c>
      <c r="C21" s="119" t="s">
        <v>1404</v>
      </c>
      <c r="D21" s="120"/>
      <c r="E21" s="83"/>
      <c r="F21" s="83"/>
      <c r="G21" s="83"/>
      <c r="H21" s="84"/>
    </row>
    <row r="22" spans="1:8">
      <c r="A22" s="955"/>
      <c r="B22" s="25" t="s">
        <v>1402</v>
      </c>
      <c r="C22" s="93"/>
      <c r="D22" s="120"/>
      <c r="E22" s="83"/>
      <c r="F22" s="83"/>
      <c r="G22" s="83"/>
      <c r="H22" s="84"/>
    </row>
    <row r="23" spans="1:8" ht="16.5" thickBot="1">
      <c r="A23" s="956"/>
      <c r="B23" s="25" t="s">
        <v>95</v>
      </c>
      <c r="C23" s="93"/>
      <c r="D23" s="120"/>
      <c r="E23" s="83"/>
      <c r="F23" s="83"/>
      <c r="G23" s="83"/>
      <c r="H23" s="84"/>
    </row>
    <row r="24" spans="1:8">
      <c r="A24" s="955"/>
      <c r="B24" s="25" t="s">
        <v>59</v>
      </c>
      <c r="C24" s="93"/>
      <c r="D24" s="120"/>
      <c r="E24" s="83"/>
      <c r="F24" s="83"/>
      <c r="G24" s="83"/>
      <c r="H24" s="84"/>
    </row>
    <row r="25" spans="1:8">
      <c r="A25" s="956"/>
      <c r="B25" s="25" t="s">
        <v>452</v>
      </c>
      <c r="C25" s="93"/>
      <c r="D25" s="91"/>
      <c r="E25" s="83"/>
      <c r="F25" s="83"/>
      <c r="G25" s="83"/>
      <c r="H25" s="84"/>
    </row>
    <row r="26" spans="1:8">
      <c r="A26" s="956"/>
      <c r="B26" s="25" t="s">
        <v>445</v>
      </c>
      <c r="C26" s="93"/>
      <c r="D26" s="91"/>
      <c r="E26" s="83"/>
      <c r="F26" s="83"/>
      <c r="G26" s="83"/>
      <c r="H26" s="84"/>
    </row>
    <row r="27" spans="1:8">
      <c r="A27" s="956"/>
      <c r="B27" s="25" t="s">
        <v>167</v>
      </c>
      <c r="C27" s="93"/>
      <c r="D27" s="91"/>
      <c r="E27" s="83"/>
      <c r="F27" s="83"/>
      <c r="G27" s="83"/>
      <c r="H27" s="84"/>
    </row>
    <row r="28" spans="1:8" ht="16.5" thickBot="1">
      <c r="A28" s="957"/>
      <c r="B28" s="25" t="s">
        <v>447</v>
      </c>
      <c r="C28" s="800"/>
      <c r="D28" s="123"/>
      <c r="E28" s="110"/>
      <c r="F28" s="110"/>
      <c r="G28" s="110"/>
      <c r="H28" s="111"/>
    </row>
    <row r="29" spans="1:8" ht="5.25" customHeight="1" thickBot="1">
      <c r="A29" s="112"/>
      <c r="B29" s="40"/>
      <c r="C29" s="3"/>
      <c r="H29" s="114"/>
    </row>
    <row r="30" spans="1:8" s="80" customFormat="1" ht="13.5" customHeight="1">
      <c r="A30" s="955" t="s">
        <v>160</v>
      </c>
      <c r="B30" s="124" t="s">
        <v>101</v>
      </c>
      <c r="C30" s="125" t="s">
        <v>48</v>
      </c>
      <c r="D30" s="126" t="s">
        <v>125</v>
      </c>
      <c r="E30" s="126" t="s">
        <v>434</v>
      </c>
      <c r="F30" s="126" t="s">
        <v>414</v>
      </c>
      <c r="G30" s="127" t="s">
        <v>465</v>
      </c>
      <c r="H30" s="128" t="s">
        <v>454</v>
      </c>
    </row>
    <row r="31" spans="1:8">
      <c r="A31" s="958"/>
      <c r="B31" s="129" t="s">
        <v>1413</v>
      </c>
      <c r="C31" s="130">
        <f>39*D31</f>
        <v>4680</v>
      </c>
      <c r="D31" s="87">
        <v>120</v>
      </c>
      <c r="E31" s="87"/>
      <c r="F31" s="87"/>
      <c r="G31" s="225"/>
      <c r="H31" s="238">
        <f>D31/$D$38</f>
        <v>0.10152284263959391</v>
      </c>
    </row>
    <row r="32" spans="1:8">
      <c r="A32" s="956"/>
      <c r="B32" s="129" t="s">
        <v>1406</v>
      </c>
      <c r="C32" s="130">
        <f>59*D32</f>
        <v>15163</v>
      </c>
      <c r="D32" s="87">
        <v>257</v>
      </c>
      <c r="E32" s="87"/>
      <c r="F32" s="87"/>
      <c r="G32" s="225"/>
      <c r="H32" s="238">
        <f>D32/$D$38</f>
        <v>0.21742808798646363</v>
      </c>
    </row>
    <row r="33" spans="1:8">
      <c r="A33" s="956"/>
      <c r="B33" s="129" t="s">
        <v>1407</v>
      </c>
      <c r="C33" s="130">
        <f>59*D33</f>
        <v>7021</v>
      </c>
      <c r="D33" s="87">
        <v>119</v>
      </c>
      <c r="E33" s="87"/>
      <c r="F33" s="87"/>
      <c r="G33" s="223"/>
      <c r="H33" s="238">
        <f t="shared" ref="H33:H37" si="0">D33/$D$38</f>
        <v>0.10067681895093063</v>
      </c>
    </row>
    <row r="34" spans="1:8">
      <c r="A34" s="958"/>
      <c r="B34" s="129" t="s">
        <v>1408</v>
      </c>
      <c r="C34" s="130">
        <f>84*D34</f>
        <v>30828</v>
      </c>
      <c r="D34" s="133">
        <v>367</v>
      </c>
      <c r="E34" s="87"/>
      <c r="F34" s="133"/>
      <c r="G34" s="223"/>
      <c r="H34" s="238">
        <f t="shared" si="0"/>
        <v>0.31049069373942473</v>
      </c>
    </row>
    <row r="35" spans="1:8">
      <c r="A35" s="958"/>
      <c r="B35" s="129" t="s">
        <v>1409</v>
      </c>
      <c r="C35" s="130">
        <f>84*D35</f>
        <v>5628</v>
      </c>
      <c r="D35" s="133">
        <v>67</v>
      </c>
      <c r="E35" s="87"/>
      <c r="F35" s="133"/>
      <c r="G35" s="223"/>
      <c r="H35" s="238">
        <f t="shared" si="0"/>
        <v>5.6683587140439931E-2</v>
      </c>
    </row>
    <row r="36" spans="1:8" ht="16.5" thickBot="1">
      <c r="A36" s="958"/>
      <c r="B36" s="129" t="s">
        <v>1410</v>
      </c>
      <c r="C36" s="130">
        <f>84*D36</f>
        <v>14112</v>
      </c>
      <c r="D36" s="133">
        <v>168</v>
      </c>
      <c r="E36" s="87"/>
      <c r="F36" s="133"/>
      <c r="G36" s="223"/>
      <c r="H36" s="238">
        <f t="shared" si="0"/>
        <v>0.14213197969543148</v>
      </c>
    </row>
    <row r="37" spans="1:8">
      <c r="A37" s="955"/>
      <c r="B37" s="129" t="s">
        <v>1411</v>
      </c>
      <c r="C37" s="130">
        <f>84*D37</f>
        <v>7056</v>
      </c>
      <c r="D37" s="133">
        <v>84</v>
      </c>
      <c r="E37" s="87"/>
      <c r="F37" s="133"/>
      <c r="G37" s="223"/>
      <c r="H37" s="238">
        <f t="shared" si="0"/>
        <v>7.1065989847715741E-2</v>
      </c>
    </row>
    <row r="38" spans="1:8" ht="17.5" thickBot="1">
      <c r="A38" s="957"/>
      <c r="B38" s="164" t="s">
        <v>462</v>
      </c>
      <c r="C38" s="57">
        <f>SUM(C31:C37)</f>
        <v>84488</v>
      </c>
      <c r="D38" s="57">
        <f>SUM(D31:D37)</f>
        <v>1182</v>
      </c>
      <c r="E38" s="57">
        <f t="shared" ref="E38:H38" si="1">SUM(E31:E37)</f>
        <v>0</v>
      </c>
      <c r="F38" s="57">
        <f t="shared" si="1"/>
        <v>0</v>
      </c>
      <c r="G38" s="57">
        <f t="shared" si="1"/>
        <v>0</v>
      </c>
      <c r="H38" s="802">
        <f t="shared" si="1"/>
        <v>1</v>
      </c>
    </row>
    <row r="39" spans="1:8" ht="6" customHeight="1" thickBot="1">
      <c r="A39" s="112"/>
      <c r="B39" s="515"/>
      <c r="C39" s="3"/>
      <c r="H39" s="114"/>
    </row>
    <row r="40" spans="1:8" s="77" customFormat="1" ht="15.5" customHeight="1" thickBot="1">
      <c r="A40" s="1043" t="s">
        <v>1084</v>
      </c>
      <c r="B40" s="124" t="s">
        <v>451</v>
      </c>
      <c r="C40" s="126" t="s">
        <v>839</v>
      </c>
      <c r="D40" s="126" t="s">
        <v>840</v>
      </c>
      <c r="E40" s="466" t="s">
        <v>43</v>
      </c>
      <c r="F40" s="126" t="s">
        <v>903</v>
      </c>
      <c r="G40" s="467" t="s">
        <v>172</v>
      </c>
      <c r="H40" s="137" t="s">
        <v>470</v>
      </c>
    </row>
    <row r="41" spans="1:8" ht="16.5" customHeight="1" thickBot="1">
      <c r="A41" s="1043"/>
      <c r="B41" s="129" t="s">
        <v>1413</v>
      </c>
      <c r="C41" s="138" t="s">
        <v>436</v>
      </c>
      <c r="D41" s="138" t="s">
        <v>436</v>
      </c>
      <c r="E41" s="362" t="e">
        <f>(D41-C41)*17</f>
        <v>#VALUE!</v>
      </c>
      <c r="F41" s="138" t="s">
        <v>436</v>
      </c>
      <c r="G41" s="362" t="e">
        <f>(F41-C41)*17</f>
        <v>#VALUE!</v>
      </c>
      <c r="H41" s="140" t="s">
        <v>449</v>
      </c>
    </row>
    <row r="42" spans="1:8" ht="16.5" customHeight="1" thickBot="1">
      <c r="A42" s="1043"/>
      <c r="B42" s="129" t="s">
        <v>1406</v>
      </c>
      <c r="C42" s="138"/>
      <c r="D42" s="138"/>
      <c r="E42" s="362">
        <f>(D42-C42)*25</f>
        <v>0</v>
      </c>
      <c r="F42" s="138"/>
      <c r="G42" s="362">
        <f>(F42-C42)*25</f>
        <v>0</v>
      </c>
      <c r="H42" s="140"/>
    </row>
    <row r="43" spans="1:8" ht="16.5" customHeight="1" thickBot="1">
      <c r="A43" s="1043"/>
      <c r="B43" s="129" t="s">
        <v>1407</v>
      </c>
      <c r="C43" s="726"/>
      <c r="D43" s="138"/>
      <c r="E43" s="362">
        <f>(D43-C43)*34</f>
        <v>0</v>
      </c>
      <c r="F43" s="726"/>
      <c r="G43" s="362">
        <f>(F43-C43)*34</f>
        <v>0</v>
      </c>
      <c r="H43" s="140"/>
    </row>
    <row r="44" spans="1:8" ht="16.5" customHeight="1" thickBot="1">
      <c r="A44" s="1043"/>
      <c r="B44" s="129" t="s">
        <v>1408</v>
      </c>
      <c r="C44" s="726">
        <f>F44*70%</f>
        <v>13993000</v>
      </c>
      <c r="D44" s="138">
        <f>F44-2000000</f>
        <v>17990000</v>
      </c>
      <c r="E44" s="362">
        <f>(D44-C44)*34</f>
        <v>135898000</v>
      </c>
      <c r="F44" s="726">
        <v>19990000</v>
      </c>
      <c r="G44" s="362">
        <f>(F44-C44)*34</f>
        <v>203898000</v>
      </c>
      <c r="H44" s="140" t="s">
        <v>1414</v>
      </c>
    </row>
    <row r="45" spans="1:8" ht="16.5" customHeight="1" thickBot="1">
      <c r="A45" s="1043"/>
      <c r="B45" s="129" t="s">
        <v>1409</v>
      </c>
      <c r="C45" s="138"/>
      <c r="D45" s="138"/>
      <c r="E45" s="362"/>
      <c r="F45" s="138"/>
      <c r="G45" s="362"/>
      <c r="H45" s="140"/>
    </row>
    <row r="46" spans="1:8" ht="16.5" customHeight="1" thickBot="1">
      <c r="A46" s="1043"/>
      <c r="B46" s="129" t="s">
        <v>1410</v>
      </c>
      <c r="C46" s="138"/>
      <c r="D46" s="138"/>
      <c r="E46" s="362"/>
      <c r="F46" s="138"/>
      <c r="G46" s="362"/>
      <c r="H46" s="140"/>
    </row>
    <row r="47" spans="1:8" ht="16.5" customHeight="1" thickBot="1">
      <c r="A47" s="1043"/>
      <c r="B47" s="129" t="s">
        <v>1411</v>
      </c>
      <c r="C47" s="138"/>
      <c r="D47" s="138"/>
      <c r="E47" s="362"/>
      <c r="F47" s="138"/>
      <c r="G47" s="362"/>
      <c r="H47" s="140"/>
    </row>
    <row r="48" spans="1:8" ht="5.25" customHeight="1" thickBot="1">
      <c r="A48" s="142"/>
      <c r="B48" s="143"/>
      <c r="C48" s="144"/>
      <c r="D48" s="144"/>
      <c r="E48" s="145"/>
      <c r="F48" s="144"/>
      <c r="G48" s="145"/>
      <c r="H48" s="146"/>
    </row>
    <row r="49" spans="1:11" ht="60.15" customHeight="1">
      <c r="A49" s="952" t="s">
        <v>286</v>
      </c>
      <c r="B49" s="126" t="s">
        <v>101</v>
      </c>
      <c r="C49" s="511" t="s">
        <v>1392</v>
      </c>
      <c r="D49" s="147" t="s">
        <v>247</v>
      </c>
      <c r="E49" s="468" t="s">
        <v>322</v>
      </c>
      <c r="F49" s="147" t="s">
        <v>222</v>
      </c>
      <c r="G49" s="468" t="s">
        <v>367</v>
      </c>
      <c r="H49" s="126" t="s">
        <v>1135</v>
      </c>
      <c r="I49" s="824" t="s">
        <v>1205</v>
      </c>
    </row>
    <row r="50" spans="1:11">
      <c r="A50" s="953"/>
      <c r="B50" s="129" t="s">
        <v>1413</v>
      </c>
      <c r="C50" s="148" t="s">
        <v>436</v>
      </c>
      <c r="D50" s="139" t="e">
        <f>E41</f>
        <v>#VALUE!</v>
      </c>
      <c r="E50" s="362" t="e">
        <f>D50-C50</f>
        <v>#VALUE!</v>
      </c>
      <c r="F50" s="139" t="e">
        <f>G41</f>
        <v>#VALUE!</v>
      </c>
      <c r="G50" s="362" t="e">
        <f t="shared" ref="G50:G56" si="2">F50-C50</f>
        <v>#VALUE!</v>
      </c>
      <c r="H50" s="739" t="s">
        <v>449</v>
      </c>
      <c r="I50" s="825"/>
    </row>
    <row r="51" spans="1:11">
      <c r="A51" s="953"/>
      <c r="B51" s="129" t="s">
        <v>1406</v>
      </c>
      <c r="C51" s="148"/>
      <c r="D51" s="139">
        <f t="shared" ref="D51:D56" si="3">E42</f>
        <v>0</v>
      </c>
      <c r="E51" s="362">
        <f t="shared" ref="E51:E56" si="4">D51-C51</f>
        <v>0</v>
      </c>
      <c r="F51" s="139">
        <f t="shared" ref="F51:F56" si="5">G42</f>
        <v>0</v>
      </c>
      <c r="G51" s="362">
        <f t="shared" si="2"/>
        <v>0</v>
      </c>
      <c r="H51" s="739"/>
      <c r="I51" s="825"/>
    </row>
    <row r="52" spans="1:11" ht="17">
      <c r="A52" s="953"/>
      <c r="B52" s="129" t="s">
        <v>1407</v>
      </c>
      <c r="C52" s="148"/>
      <c r="D52" s="139">
        <f t="shared" si="3"/>
        <v>0</v>
      </c>
      <c r="E52" s="362">
        <f t="shared" si="4"/>
        <v>0</v>
      </c>
      <c r="F52" s="139">
        <f t="shared" si="5"/>
        <v>0</v>
      </c>
      <c r="G52" s="362">
        <f t="shared" si="2"/>
        <v>0</v>
      </c>
      <c r="H52" s="62">
        <f>(C52+(C43*34))/34</f>
        <v>0</v>
      </c>
      <c r="I52" s="751">
        <f>H53/F44</f>
        <v>0.95012506253126561</v>
      </c>
    </row>
    <row r="53" spans="1:11">
      <c r="A53" s="953"/>
      <c r="B53" s="129" t="s">
        <v>1408</v>
      </c>
      <c r="C53" s="148">
        <v>170000000</v>
      </c>
      <c r="D53" s="139">
        <f t="shared" si="3"/>
        <v>135898000</v>
      </c>
      <c r="E53" s="362">
        <f t="shared" si="4"/>
        <v>-34102000</v>
      </c>
      <c r="F53" s="139">
        <f t="shared" si="5"/>
        <v>203898000</v>
      </c>
      <c r="G53" s="362">
        <f t="shared" si="2"/>
        <v>33898000</v>
      </c>
      <c r="H53" s="62">
        <f>(C53+(C44*34))/34</f>
        <v>18993000</v>
      </c>
      <c r="I53" s="140"/>
    </row>
    <row r="54" spans="1:11">
      <c r="A54" s="953"/>
      <c r="B54" s="129" t="s">
        <v>1409</v>
      </c>
      <c r="C54" s="148"/>
      <c r="D54" s="139">
        <f t="shared" si="3"/>
        <v>0</v>
      </c>
      <c r="E54" s="362">
        <f t="shared" si="4"/>
        <v>0</v>
      </c>
      <c r="F54" s="139">
        <f t="shared" si="5"/>
        <v>0</v>
      </c>
      <c r="G54" s="362">
        <f t="shared" si="2"/>
        <v>0</v>
      </c>
      <c r="H54" s="739"/>
      <c r="I54" s="140"/>
    </row>
    <row r="55" spans="1:11">
      <c r="A55" s="953"/>
      <c r="B55" s="129" t="s">
        <v>1410</v>
      </c>
      <c r="C55" s="148"/>
      <c r="D55" s="139">
        <f t="shared" si="3"/>
        <v>0</v>
      </c>
      <c r="E55" s="362">
        <f t="shared" si="4"/>
        <v>0</v>
      </c>
      <c r="F55" s="139">
        <f t="shared" si="5"/>
        <v>0</v>
      </c>
      <c r="G55" s="362">
        <f t="shared" si="2"/>
        <v>0</v>
      </c>
      <c r="H55" s="739"/>
      <c r="I55" s="140"/>
    </row>
    <row r="56" spans="1:11">
      <c r="A56" s="953"/>
      <c r="B56" s="129" t="s">
        <v>1411</v>
      </c>
      <c r="C56" s="148"/>
      <c r="D56" s="139">
        <f t="shared" si="3"/>
        <v>0</v>
      </c>
      <c r="E56" s="362">
        <f t="shared" si="4"/>
        <v>0</v>
      </c>
      <c r="F56" s="139">
        <f t="shared" si="5"/>
        <v>0</v>
      </c>
      <c r="G56" s="362">
        <f t="shared" si="2"/>
        <v>0</v>
      </c>
      <c r="H56" s="95"/>
      <c r="I56" s="140"/>
    </row>
    <row r="57" spans="1:11" s="1" customFormat="1" ht="22.75" customHeight="1">
      <c r="A57" s="1039" t="s">
        <v>598</v>
      </c>
      <c r="B57" s="737" t="s">
        <v>599</v>
      </c>
      <c r="C57" s="738" t="s">
        <v>857</v>
      </c>
      <c r="D57" s="1040" t="s">
        <v>600</v>
      </c>
      <c r="E57" s="1041"/>
      <c r="F57" s="1041"/>
      <c r="G57" s="1041"/>
      <c r="H57" s="1042"/>
      <c r="I57" s="5"/>
      <c r="J57" s="5"/>
      <c r="K57" s="5"/>
    </row>
    <row r="58" spans="1:11" s="1" customFormat="1" ht="22.75" customHeight="1">
      <c r="A58" s="1015"/>
      <c r="B58" s="165" t="s">
        <v>604</v>
      </c>
      <c r="C58" s="708">
        <v>1840</v>
      </c>
      <c r="D58" s="492"/>
      <c r="H58" s="42"/>
      <c r="I58" s="509"/>
      <c r="J58" s="509"/>
      <c r="K58" s="509"/>
    </row>
    <row r="59" spans="1:11" s="1" customFormat="1" ht="22.75" customHeight="1">
      <c r="A59" s="1016"/>
      <c r="B59" s="165" t="s">
        <v>605</v>
      </c>
      <c r="C59" s="627">
        <f>H53/10000</f>
        <v>1899.3</v>
      </c>
      <c r="D59" s="492"/>
      <c r="H59" s="42"/>
    </row>
    <row r="60" spans="1:11" s="1" customFormat="1" ht="22.75" customHeight="1">
      <c r="A60" s="1016"/>
      <c r="B60" s="165" t="s">
        <v>1417</v>
      </c>
      <c r="C60" s="627"/>
      <c r="D60" s="492"/>
      <c r="H60" s="42"/>
    </row>
    <row r="61" spans="1:11" s="1" customFormat="1" ht="22.75" customHeight="1">
      <c r="A61" s="1016"/>
      <c r="B61" s="165" t="s">
        <v>1418</v>
      </c>
      <c r="C61" s="627"/>
      <c r="D61" s="492"/>
      <c r="H61" s="42"/>
    </row>
    <row r="62" spans="1:11" s="1" customFormat="1" ht="22.75" customHeight="1">
      <c r="A62" s="1016"/>
      <c r="B62" s="165" t="s">
        <v>608</v>
      </c>
      <c r="C62" s="627"/>
      <c r="D62" s="492"/>
      <c r="H62" s="42"/>
    </row>
    <row r="63" spans="1:11" s="1" customFormat="1" ht="22.75" customHeight="1">
      <c r="A63" s="1016"/>
      <c r="B63" s="165" t="s">
        <v>1415</v>
      </c>
      <c r="C63" s="627"/>
      <c r="D63" s="492"/>
      <c r="H63" s="42"/>
    </row>
    <row r="64" spans="1:11" s="1" customFormat="1" ht="22.75" customHeight="1">
      <c r="A64" s="1016"/>
      <c r="B64" s="165" t="s">
        <v>1416</v>
      </c>
      <c r="C64" s="627"/>
      <c r="D64" s="492"/>
      <c r="H64" s="42"/>
    </row>
    <row r="65" spans="1:8" s="1" customFormat="1" ht="22.75" customHeight="1">
      <c r="A65" s="1016"/>
      <c r="B65" s="165" t="s">
        <v>1419</v>
      </c>
      <c r="C65" s="627"/>
      <c r="D65" s="492"/>
      <c r="H65" s="42"/>
    </row>
    <row r="66" spans="1:8" s="1" customFormat="1" ht="22.25" customHeight="1">
      <c r="A66" s="1016"/>
      <c r="B66" s="165" t="s">
        <v>1420</v>
      </c>
      <c r="C66" s="627"/>
      <c r="D66" s="492"/>
      <c r="H66" s="42"/>
    </row>
    <row r="67" spans="1:8" s="1" customFormat="1" ht="22.75" customHeight="1" thickBot="1">
      <c r="A67" s="1017"/>
      <c r="B67" s="490" t="s">
        <v>1421</v>
      </c>
      <c r="C67" s="628"/>
      <c r="D67" s="493"/>
      <c r="E67" s="486"/>
      <c r="F67" s="486"/>
      <c r="G67" s="486"/>
      <c r="H67" s="487"/>
    </row>
    <row r="68" spans="1:8" ht="4" customHeight="1" thickBot="1"/>
    <row r="69" spans="1:8">
      <c r="A69" s="826" t="s">
        <v>650</v>
      </c>
      <c r="B69" s="564"/>
      <c r="C69" s="565"/>
      <c r="D69" s="566"/>
      <c r="E69" s="559"/>
      <c r="F69" s="559"/>
      <c r="G69" s="559"/>
      <c r="H69" s="567"/>
    </row>
    <row r="70" spans="1:8" ht="15" customHeight="1">
      <c r="A70" s="827"/>
      <c r="B70" s="206"/>
      <c r="H70" s="114"/>
    </row>
    <row r="71" spans="1:8" ht="15" customHeight="1">
      <c r="A71" s="827"/>
      <c r="B71" s="206"/>
      <c r="H71" s="114"/>
    </row>
    <row r="72" spans="1:8" ht="15" customHeight="1">
      <c r="A72" s="827"/>
      <c r="B72" s="206"/>
      <c r="H72" s="114"/>
    </row>
    <row r="73" spans="1:8" ht="15" customHeight="1">
      <c r="A73" s="827"/>
      <c r="B73" s="206"/>
      <c r="H73" s="114"/>
    </row>
    <row r="74" spans="1:8" ht="16.5" thickBot="1">
      <c r="A74" s="828"/>
      <c r="B74" s="568"/>
      <c r="C74" s="569"/>
      <c r="D74" s="570"/>
      <c r="E74" s="571"/>
      <c r="F74" s="571"/>
      <c r="G74" s="571"/>
      <c r="H74" s="572"/>
    </row>
  </sheetData>
  <mergeCells count="20">
    <mergeCell ref="A1:H1"/>
    <mergeCell ref="A2:A18"/>
    <mergeCell ref="C2:H2"/>
    <mergeCell ref="C3:H3"/>
    <mergeCell ref="C5:D5"/>
    <mergeCell ref="C6:D6"/>
    <mergeCell ref="D7:E7"/>
    <mergeCell ref="G7:H7"/>
    <mergeCell ref="F10:H10"/>
    <mergeCell ref="F14:G14"/>
    <mergeCell ref="I49:I51"/>
    <mergeCell ref="A57:A67"/>
    <mergeCell ref="D57:H57"/>
    <mergeCell ref="A69:A74"/>
    <mergeCell ref="F15:H15"/>
    <mergeCell ref="B17:B18"/>
    <mergeCell ref="A20:A28"/>
    <mergeCell ref="A30:A38"/>
    <mergeCell ref="A40:A47"/>
    <mergeCell ref="A49:A56"/>
  </mergeCells>
  <phoneticPr fontId="16" type="noConversion"/>
  <pageMargins left="0.69972223043441772" right="0.69972223043441772" top="0.75" bottom="0.75" header="0.30000001192092896" footer="0.30000001192092896"/>
  <pageSetup paperSize="9" scale="53" orientation="portrait" horizontalDpi="4294967293" verticalDpi="4294967293" r:id="rId1"/>
  <rowBreaks count="2" manualBreakCount="2">
    <brk id="83" max="1048575" man="1"/>
    <brk id="89" max="1048575" man="1"/>
  </rowBreaks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56"/>
  <sheetViews>
    <sheetView showGridLines="0" view="pageBreakPreview" topLeftCell="A37" zoomScale="85" zoomScaleSheetLayoutView="85" workbookViewId="0">
      <selection activeCell="J55" sqref="J55"/>
    </sheetView>
  </sheetViews>
  <sheetFormatPr defaultColWidth="13.4140625" defaultRowHeight="16"/>
  <cols>
    <col min="1" max="1" width="4.9140625" style="1" customWidth="1"/>
    <col min="2" max="2" width="13.4140625" style="2"/>
    <col min="3" max="3" width="23.5" style="3" customWidth="1"/>
    <col min="4" max="4" width="18.25" style="4" bestFit="1" customWidth="1"/>
    <col min="5" max="5" width="13.08203125" style="1" bestFit="1" customWidth="1"/>
    <col min="6" max="6" width="15.75" style="1" bestFit="1" customWidth="1"/>
    <col min="7" max="7" width="14" style="1" bestFit="1" customWidth="1"/>
    <col min="8" max="8" width="6.4140625" style="1" bestFit="1" customWidth="1"/>
    <col min="9" max="11" width="13.4140625" style="1"/>
    <col min="12" max="12" width="13.4140625" style="1" bestFit="1" customWidth="1"/>
    <col min="13" max="16384" width="13.4140625" style="1"/>
  </cols>
  <sheetData>
    <row r="1" spans="1:8" ht="30.75" customHeight="1">
      <c r="A1" s="1054" t="s">
        <v>162</v>
      </c>
      <c r="B1" s="1055"/>
      <c r="C1" s="1055"/>
      <c r="D1" s="1055"/>
      <c r="E1" s="1055"/>
      <c r="F1" s="1055"/>
      <c r="G1" s="1055"/>
      <c r="H1" s="1056"/>
    </row>
    <row r="2" spans="1:8">
      <c r="A2" s="1048" t="s">
        <v>112</v>
      </c>
      <c r="B2" s="6" t="s">
        <v>420</v>
      </c>
      <c r="C2" s="7" t="s">
        <v>70</v>
      </c>
      <c r="D2" s="150"/>
      <c r="E2" s="9"/>
      <c r="F2" s="9"/>
      <c r="G2" s="9"/>
      <c r="H2" s="10"/>
    </row>
    <row r="3" spans="1:8">
      <c r="A3" s="1057"/>
      <c r="B3" s="11" t="s">
        <v>471</v>
      </c>
      <c r="C3" s="856" t="s">
        <v>386</v>
      </c>
      <c r="D3" s="857"/>
      <c r="E3" s="14"/>
      <c r="F3" s="14"/>
      <c r="G3" s="14"/>
      <c r="H3" s="15"/>
    </row>
    <row r="4" spans="1:8">
      <c r="A4" s="1057"/>
      <c r="B4" s="11" t="s">
        <v>407</v>
      </c>
      <c r="C4" s="856" t="s">
        <v>354</v>
      </c>
      <c r="D4" s="857"/>
      <c r="E4" s="14"/>
      <c r="F4" s="14"/>
      <c r="G4" s="14"/>
      <c r="H4" s="15"/>
    </row>
    <row r="5" spans="1:8">
      <c r="A5" s="1049"/>
      <c r="B5" s="16" t="s">
        <v>99</v>
      </c>
      <c r="C5" s="17">
        <v>65194</v>
      </c>
      <c r="D5" s="858" t="s">
        <v>250</v>
      </c>
      <c r="E5" s="859"/>
      <c r="F5" s="250">
        <f>C5*0.3025/C7</f>
        <v>87.261880530973443</v>
      </c>
      <c r="G5" s="916" t="s">
        <v>524</v>
      </c>
      <c r="H5" s="917"/>
    </row>
    <row r="6" spans="1:8">
      <c r="A6" s="1049"/>
      <c r="B6" s="16" t="s">
        <v>425</v>
      </c>
      <c r="C6" s="17">
        <v>8</v>
      </c>
      <c r="D6" s="18"/>
      <c r="E6" s="19"/>
      <c r="F6" s="19"/>
      <c r="G6" s="19"/>
      <c r="H6" s="20"/>
    </row>
    <row r="7" spans="1:8">
      <c r="A7" s="1049"/>
      <c r="B7" s="16" t="s">
        <v>121</v>
      </c>
      <c r="C7" s="17">
        <v>226</v>
      </c>
      <c r="D7" s="21" t="s">
        <v>39</v>
      </c>
      <c r="E7" s="22">
        <f>C7/C9</f>
        <v>0.19550173010380623</v>
      </c>
      <c r="F7" s="18"/>
      <c r="G7" s="19"/>
      <c r="H7" s="20"/>
    </row>
    <row r="8" spans="1:8">
      <c r="A8" s="1049"/>
      <c r="B8" s="16" t="s">
        <v>54</v>
      </c>
      <c r="C8" s="249">
        <f>C9-C7</f>
        <v>930</v>
      </c>
      <c r="D8" s="21" t="s">
        <v>145</v>
      </c>
      <c r="E8" s="251">
        <f>C8/C9</f>
        <v>0.80449826989619377</v>
      </c>
      <c r="F8" s="863" t="s">
        <v>29</v>
      </c>
      <c r="G8" s="864"/>
      <c r="H8" s="865"/>
    </row>
    <row r="9" spans="1:8">
      <c r="A9" s="1049"/>
      <c r="B9" s="16" t="s">
        <v>125</v>
      </c>
      <c r="C9" s="17">
        <f>1228-72</f>
        <v>1156</v>
      </c>
      <c r="D9" s="23"/>
      <c r="E9" s="19"/>
      <c r="F9" s="19"/>
      <c r="G9" s="19"/>
      <c r="H9" s="20"/>
    </row>
    <row r="10" spans="1:8">
      <c r="A10" s="1049"/>
      <c r="B10" s="16" t="s">
        <v>427</v>
      </c>
      <c r="C10" s="24">
        <v>0.155</v>
      </c>
      <c r="D10" s="25" t="s">
        <v>84</v>
      </c>
      <c r="E10" s="26">
        <f>C5*C10</f>
        <v>10105.07</v>
      </c>
      <c r="F10" s="27" t="s">
        <v>41</v>
      </c>
      <c r="G10" s="28">
        <f>E11/E10</f>
        <v>17.115483870967743</v>
      </c>
      <c r="H10" s="29"/>
    </row>
    <row r="11" spans="1:8">
      <c r="A11" s="1049"/>
      <c r="B11" s="16" t="s">
        <v>466</v>
      </c>
      <c r="C11" s="24">
        <v>2.6529000000000003</v>
      </c>
      <c r="D11" s="25" t="s">
        <v>91</v>
      </c>
      <c r="E11" s="30">
        <f>C5*C11</f>
        <v>172953.16260000001</v>
      </c>
      <c r="F11" s="27" t="s">
        <v>209</v>
      </c>
      <c r="G11" s="236">
        <f>E11*76%</f>
        <v>131444.40357600001</v>
      </c>
      <c r="H11" s="31"/>
    </row>
    <row r="12" spans="1:8">
      <c r="A12" s="1049"/>
      <c r="B12" s="16" t="s">
        <v>208</v>
      </c>
      <c r="C12" s="152" t="s">
        <v>271</v>
      </c>
      <c r="D12" s="18"/>
      <c r="E12" s="19"/>
      <c r="F12" s="858" t="s">
        <v>234</v>
      </c>
      <c r="G12" s="859"/>
      <c r="H12" s="237">
        <f>G11/C36</f>
        <v>1.4880723132726532</v>
      </c>
    </row>
    <row r="13" spans="1:8">
      <c r="A13" s="1049"/>
      <c r="B13" s="16" t="s">
        <v>441</v>
      </c>
      <c r="C13" s="165" t="s">
        <v>136</v>
      </c>
      <c r="D13" s="18"/>
      <c r="E13" s="19"/>
      <c r="F13" s="863" t="s">
        <v>392</v>
      </c>
      <c r="G13" s="864"/>
      <c r="H13" s="865"/>
    </row>
    <row r="14" spans="1:8">
      <c r="A14" s="1049"/>
      <c r="B14" s="32" t="s">
        <v>467</v>
      </c>
      <c r="C14" s="166">
        <v>1.03</v>
      </c>
      <c r="D14" s="34"/>
      <c r="E14" s="19"/>
      <c r="F14" s="19"/>
      <c r="G14" s="19"/>
      <c r="H14" s="20"/>
    </row>
    <row r="15" spans="1:8">
      <c r="A15" s="1050"/>
      <c r="B15" s="35"/>
      <c r="C15" s="35"/>
      <c r="D15" s="36"/>
      <c r="E15" s="37"/>
      <c r="F15" s="37"/>
      <c r="G15" s="37"/>
      <c r="H15" s="38"/>
    </row>
    <row r="16" spans="1:8" ht="5.25" customHeight="1">
      <c r="A16" s="39"/>
      <c r="B16" s="40"/>
      <c r="C16" s="41"/>
      <c r="D16" s="41"/>
      <c r="H16" s="42"/>
    </row>
    <row r="17" spans="1:8">
      <c r="A17" s="1048" t="s">
        <v>49</v>
      </c>
      <c r="B17" s="43" t="s">
        <v>81</v>
      </c>
      <c r="C17" s="44" t="s">
        <v>278</v>
      </c>
      <c r="D17" s="45"/>
      <c r="E17" s="9"/>
      <c r="F17" s="9"/>
      <c r="G17" s="9"/>
      <c r="H17" s="10"/>
    </row>
    <row r="18" spans="1:8">
      <c r="A18" s="1049"/>
      <c r="B18" s="25" t="s">
        <v>147</v>
      </c>
      <c r="C18" s="46" t="s">
        <v>344</v>
      </c>
      <c r="D18" s="47"/>
      <c r="E18" s="19"/>
      <c r="F18" s="19"/>
      <c r="G18" s="19"/>
      <c r="H18" s="20"/>
    </row>
    <row r="19" spans="1:8">
      <c r="A19" s="1049"/>
      <c r="B19" s="25" t="s">
        <v>98</v>
      </c>
      <c r="C19" s="46" t="s">
        <v>296</v>
      </c>
      <c r="D19" s="47"/>
      <c r="E19" s="19"/>
      <c r="F19" s="19"/>
      <c r="G19" s="19"/>
      <c r="H19" s="20"/>
    </row>
    <row r="20" spans="1:8">
      <c r="A20" s="1049"/>
      <c r="B20" s="25" t="s">
        <v>73</v>
      </c>
      <c r="C20" s="25" t="s">
        <v>345</v>
      </c>
      <c r="D20" s="23"/>
      <c r="E20" s="19"/>
      <c r="F20" s="19"/>
      <c r="G20" s="19"/>
      <c r="H20" s="20"/>
    </row>
    <row r="21" spans="1:8">
      <c r="A21" s="1049"/>
      <c r="B21" s="25" t="s">
        <v>452</v>
      </c>
      <c r="C21" s="25" t="s">
        <v>258</v>
      </c>
      <c r="D21" s="23"/>
      <c r="E21" s="19"/>
      <c r="F21" s="19"/>
      <c r="G21" s="19"/>
      <c r="H21" s="20"/>
    </row>
    <row r="22" spans="1:8">
      <c r="A22" s="1049"/>
      <c r="B22" s="25" t="s">
        <v>445</v>
      </c>
      <c r="C22" s="25" t="s">
        <v>310</v>
      </c>
      <c r="D22" s="23"/>
      <c r="E22" s="19"/>
      <c r="F22" s="19"/>
      <c r="G22" s="19"/>
      <c r="H22" s="20"/>
    </row>
    <row r="23" spans="1:8">
      <c r="A23" s="1049"/>
      <c r="B23" s="25" t="s">
        <v>167</v>
      </c>
      <c r="C23" s="25" t="s">
        <v>333</v>
      </c>
      <c r="D23" s="23"/>
      <c r="E23" s="19"/>
      <c r="F23" s="19"/>
      <c r="G23" s="19"/>
      <c r="H23" s="20"/>
    </row>
    <row r="24" spans="1:8">
      <c r="A24" s="1050"/>
      <c r="B24" s="35" t="s">
        <v>447</v>
      </c>
      <c r="C24" s="35" t="s">
        <v>266</v>
      </c>
      <c r="D24" s="48"/>
      <c r="E24" s="37"/>
      <c r="F24" s="37"/>
      <c r="G24" s="37"/>
      <c r="H24" s="38"/>
    </row>
    <row r="25" spans="1:8" ht="5.25" customHeight="1">
      <c r="A25" s="39"/>
      <c r="B25" s="40"/>
      <c r="H25" s="42"/>
    </row>
    <row r="26" spans="1:8" s="5" customFormat="1" ht="13.5" customHeight="1">
      <c r="A26" s="1048" t="s">
        <v>160</v>
      </c>
      <c r="B26" s="49" t="s">
        <v>101</v>
      </c>
      <c r="C26" s="50" t="s">
        <v>48</v>
      </c>
      <c r="D26" s="51" t="s">
        <v>125</v>
      </c>
      <c r="E26" s="51" t="s">
        <v>434</v>
      </c>
      <c r="F26" s="51" t="s">
        <v>414</v>
      </c>
      <c r="G26" s="158" t="s">
        <v>454</v>
      </c>
      <c r="H26" s="52" t="s">
        <v>470</v>
      </c>
    </row>
    <row r="27" spans="1:8">
      <c r="A27" s="1049"/>
      <c r="B27" s="129" t="s">
        <v>456</v>
      </c>
      <c r="C27" s="53"/>
      <c r="D27" s="17"/>
      <c r="E27" s="17"/>
      <c r="F27" s="54"/>
      <c r="G27" s="167"/>
      <c r="H27" s="55"/>
    </row>
    <row r="28" spans="1:8">
      <c r="A28" s="1049"/>
      <c r="B28" s="16" t="s">
        <v>88</v>
      </c>
      <c r="C28" s="53">
        <f>59*D28</f>
        <v>12390</v>
      </c>
      <c r="D28" s="17">
        <v>210</v>
      </c>
      <c r="E28" s="17">
        <v>162</v>
      </c>
      <c r="F28" s="160">
        <f t="shared" ref="F28:F35" si="0">D28-E28</f>
        <v>48</v>
      </c>
      <c r="G28" s="159">
        <f t="shared" ref="G28:G35" si="1">D28/$D$36</f>
        <v>0.18166089965397925</v>
      </c>
      <c r="H28" s="55"/>
    </row>
    <row r="29" spans="1:8">
      <c r="A29" s="1049"/>
      <c r="B29" s="16" t="s">
        <v>61</v>
      </c>
      <c r="C29" s="53">
        <f>59*D29</f>
        <v>2478</v>
      </c>
      <c r="D29" s="17">
        <v>42</v>
      </c>
      <c r="E29" s="17">
        <v>41</v>
      </c>
      <c r="F29" s="160">
        <f t="shared" si="0"/>
        <v>1</v>
      </c>
      <c r="G29" s="159">
        <f t="shared" si="1"/>
        <v>3.6332179930795849E-2</v>
      </c>
      <c r="H29" s="55"/>
    </row>
    <row r="30" spans="1:8">
      <c r="A30" s="1049"/>
      <c r="B30" s="16" t="s">
        <v>89</v>
      </c>
      <c r="C30" s="53">
        <f>74*D30</f>
        <v>10360</v>
      </c>
      <c r="D30" s="17">
        <v>140</v>
      </c>
      <c r="E30" s="17">
        <v>124</v>
      </c>
      <c r="F30" s="160">
        <f t="shared" si="0"/>
        <v>16</v>
      </c>
      <c r="G30" s="159">
        <f t="shared" si="1"/>
        <v>0.12110726643598616</v>
      </c>
      <c r="H30" s="55"/>
    </row>
    <row r="31" spans="1:8">
      <c r="A31" s="1049"/>
      <c r="B31" s="16" t="s">
        <v>38</v>
      </c>
      <c r="C31" s="53">
        <f>74*D31</f>
        <v>14356</v>
      </c>
      <c r="D31" s="17">
        <v>194</v>
      </c>
      <c r="E31" s="17">
        <v>178</v>
      </c>
      <c r="F31" s="160">
        <f t="shared" si="0"/>
        <v>16</v>
      </c>
      <c r="G31" s="159">
        <f t="shared" si="1"/>
        <v>0.16782006920415224</v>
      </c>
      <c r="H31" s="55"/>
    </row>
    <row r="32" spans="1:8">
      <c r="A32" s="1049"/>
      <c r="B32" s="16" t="s">
        <v>78</v>
      </c>
      <c r="C32" s="53">
        <f>74*D32</f>
        <v>1628</v>
      </c>
      <c r="D32" s="17">
        <v>22</v>
      </c>
      <c r="E32" s="17">
        <v>22</v>
      </c>
      <c r="F32" s="160">
        <f t="shared" si="0"/>
        <v>0</v>
      </c>
      <c r="G32" s="159">
        <f t="shared" si="1"/>
        <v>1.9031141868512111E-2</v>
      </c>
      <c r="H32" s="55"/>
    </row>
    <row r="33" spans="1:12">
      <c r="A33" s="1049"/>
      <c r="B33" s="16" t="s">
        <v>193</v>
      </c>
      <c r="C33" s="53">
        <f>84*D33</f>
        <v>38808</v>
      </c>
      <c r="D33" s="17">
        <v>462</v>
      </c>
      <c r="E33" s="17">
        <v>356</v>
      </c>
      <c r="F33" s="160">
        <f t="shared" si="0"/>
        <v>106</v>
      </c>
      <c r="G33" s="159">
        <f t="shared" si="1"/>
        <v>0.39965397923875434</v>
      </c>
      <c r="H33" s="55"/>
    </row>
    <row r="34" spans="1:12">
      <c r="A34" s="1049"/>
      <c r="B34" s="16" t="s">
        <v>56</v>
      </c>
      <c r="C34" s="53">
        <f>84*D34</f>
        <v>1848</v>
      </c>
      <c r="D34" s="17">
        <v>22</v>
      </c>
      <c r="E34" s="54">
        <v>21</v>
      </c>
      <c r="F34" s="160">
        <f t="shared" si="0"/>
        <v>1</v>
      </c>
      <c r="G34" s="159">
        <f t="shared" si="1"/>
        <v>1.9031141868512111E-2</v>
      </c>
      <c r="H34" s="55"/>
    </row>
    <row r="35" spans="1:12">
      <c r="A35" s="1048"/>
      <c r="B35" s="129" t="s">
        <v>130</v>
      </c>
      <c r="C35" s="53">
        <f>101*D35</f>
        <v>6464</v>
      </c>
      <c r="D35" s="17">
        <v>64</v>
      </c>
      <c r="E35" s="160">
        <v>26</v>
      </c>
      <c r="F35" s="160">
        <f t="shared" si="0"/>
        <v>38</v>
      </c>
      <c r="G35" s="159">
        <f t="shared" si="1"/>
        <v>5.536332179930796E-2</v>
      </c>
      <c r="H35" s="161"/>
    </row>
    <row r="36" spans="1:12">
      <c r="A36" s="1050"/>
      <c r="B36" s="129" t="s">
        <v>462</v>
      </c>
      <c r="C36" s="57">
        <f>SUM(C28:C35)</f>
        <v>88332</v>
      </c>
      <c r="D36" s="57">
        <f>SUM(D28:D35)</f>
        <v>1156</v>
      </c>
      <c r="E36" s="57">
        <f>SUM(E28:E35)</f>
        <v>930</v>
      </c>
      <c r="F36" s="57">
        <f>SUM(F28:F35)</f>
        <v>226</v>
      </c>
      <c r="G36" s="135">
        <f>SUM(G28:G35)</f>
        <v>0.99999999999999989</v>
      </c>
      <c r="H36" s="60"/>
    </row>
    <row r="37" spans="1:12" ht="4.5" customHeight="1">
      <c r="A37" s="39"/>
      <c r="B37" s="40"/>
      <c r="H37" s="42"/>
    </row>
    <row r="38" spans="1:12" s="2" customFormat="1">
      <c r="A38" s="1051" t="s">
        <v>393</v>
      </c>
      <c r="B38" s="49" t="s">
        <v>360</v>
      </c>
      <c r="C38" s="51" t="s">
        <v>904</v>
      </c>
      <c r="D38" s="51" t="s">
        <v>905</v>
      </c>
      <c r="E38" s="453" t="s">
        <v>43</v>
      </c>
      <c r="F38" s="51" t="s">
        <v>906</v>
      </c>
      <c r="G38" s="454" t="s">
        <v>172</v>
      </c>
      <c r="H38" s="61" t="s">
        <v>470</v>
      </c>
      <c r="L38" s="173"/>
    </row>
    <row r="39" spans="1:12" ht="16.5" customHeight="1">
      <c r="A39" s="1052"/>
      <c r="B39" s="16" t="s">
        <v>88</v>
      </c>
      <c r="C39" s="62"/>
      <c r="D39" s="63"/>
      <c r="E39" s="252">
        <f>(D39-C39)*25</f>
        <v>0</v>
      </c>
      <c r="F39" s="63"/>
      <c r="G39" s="252">
        <f>(F39-C39)*25</f>
        <v>0</v>
      </c>
      <c r="H39" s="31"/>
    </row>
    <row r="40" spans="1:12" ht="16.5" customHeight="1">
      <c r="A40" s="1052"/>
      <c r="B40" s="16" t="s">
        <v>61</v>
      </c>
      <c r="C40" s="62"/>
      <c r="D40" s="63"/>
      <c r="E40" s="252">
        <f>(D40-C40)*25</f>
        <v>0</v>
      </c>
      <c r="F40" s="63"/>
      <c r="G40" s="252">
        <f>(F40-C40)*25</f>
        <v>0</v>
      </c>
      <c r="H40" s="31"/>
    </row>
    <row r="41" spans="1:12" ht="16.5" customHeight="1">
      <c r="A41" s="1052"/>
      <c r="B41" s="16" t="s">
        <v>89</v>
      </c>
      <c r="C41" s="62"/>
      <c r="D41" s="63"/>
      <c r="E41" s="252">
        <f>(D41-C41)*31</f>
        <v>0</v>
      </c>
      <c r="F41" s="63"/>
      <c r="G41" s="252">
        <f>(F41-C41)*31</f>
        <v>0</v>
      </c>
      <c r="H41" s="31"/>
    </row>
    <row r="42" spans="1:12" ht="16.5" customHeight="1">
      <c r="A42" s="1052"/>
      <c r="B42" s="16" t="s">
        <v>38</v>
      </c>
      <c r="C42" s="62"/>
      <c r="D42" s="63"/>
      <c r="E42" s="252">
        <f>(D42-C42)*31</f>
        <v>0</v>
      </c>
      <c r="F42" s="63"/>
      <c r="G42" s="252">
        <f>(F42-C42)*31</f>
        <v>0</v>
      </c>
      <c r="H42" s="31"/>
    </row>
    <row r="43" spans="1:12" ht="16.5" customHeight="1">
      <c r="A43" s="1052"/>
      <c r="B43" s="16" t="s">
        <v>78</v>
      </c>
      <c r="C43" s="62"/>
      <c r="D43" s="63"/>
      <c r="E43" s="252">
        <f>(D43-C43)*31</f>
        <v>0</v>
      </c>
      <c r="F43" s="63"/>
      <c r="G43" s="252">
        <f>(F43-C43)*31</f>
        <v>0</v>
      </c>
      <c r="H43" s="31"/>
    </row>
    <row r="44" spans="1:12" ht="16.5" customHeight="1">
      <c r="A44" s="1052"/>
      <c r="B44" s="16" t="s">
        <v>193</v>
      </c>
      <c r="C44" s="724">
        <v>8500000</v>
      </c>
      <c r="D44" s="63">
        <v>12000000</v>
      </c>
      <c r="E44" s="252">
        <f>(D44-C44)*34</f>
        <v>119000000</v>
      </c>
      <c r="F44" s="726">
        <v>15710000</v>
      </c>
      <c r="G44" s="252">
        <f>(F44-C44)*34</f>
        <v>245140000</v>
      </c>
      <c r="H44" s="31"/>
    </row>
    <row r="45" spans="1:12" ht="16.5" customHeight="1">
      <c r="A45" s="1052"/>
      <c r="B45" s="16" t="s">
        <v>56</v>
      </c>
      <c r="C45" s="62"/>
      <c r="D45" s="63"/>
      <c r="E45" s="252">
        <f>(D45-C45)*34</f>
        <v>0</v>
      </c>
      <c r="F45" s="63"/>
      <c r="G45" s="252">
        <f>(F45-C45)*34</f>
        <v>0</v>
      </c>
      <c r="H45" s="31"/>
    </row>
    <row r="46" spans="1:12" ht="16.5" customHeight="1">
      <c r="A46" s="1053"/>
      <c r="B46" s="164" t="s">
        <v>130</v>
      </c>
      <c r="C46" s="64"/>
      <c r="D46" s="65"/>
      <c r="E46" s="252">
        <f>(D46-C46)*39</f>
        <v>0</v>
      </c>
      <c r="F46" s="65"/>
      <c r="G46" s="252">
        <f>(F46-C46)*39</f>
        <v>0</v>
      </c>
      <c r="H46" s="66"/>
    </row>
    <row r="47" spans="1:12" ht="5.25" customHeight="1"/>
    <row r="48" spans="1:12" ht="67.5" customHeight="1">
      <c r="A48" s="1044" t="s">
        <v>257</v>
      </c>
      <c r="B48" s="51" t="s">
        <v>101</v>
      </c>
      <c r="C48" s="508" t="s">
        <v>1393</v>
      </c>
      <c r="D48" s="70" t="s">
        <v>247</v>
      </c>
      <c r="E48" s="455" t="s">
        <v>322</v>
      </c>
      <c r="F48" s="70" t="s">
        <v>222</v>
      </c>
      <c r="G48" s="456" t="s">
        <v>367</v>
      </c>
      <c r="H48" s="61" t="s">
        <v>470</v>
      </c>
    </row>
    <row r="49" spans="1:8" ht="15" customHeight="1">
      <c r="A49" s="1045"/>
      <c r="B49" s="16" t="s">
        <v>88</v>
      </c>
      <c r="C49" s="71" t="s">
        <v>436</v>
      </c>
      <c r="D49" s="62">
        <f t="shared" ref="D49:D56" si="2">E39</f>
        <v>0</v>
      </c>
      <c r="E49" s="253" t="e">
        <f t="shared" ref="E49:E56" si="3">D49-C49</f>
        <v>#VALUE!</v>
      </c>
      <c r="F49" s="62">
        <f t="shared" ref="F49:F56" si="4">G39</f>
        <v>0</v>
      </c>
      <c r="G49" s="253" t="e">
        <f t="shared" ref="G49:G56" si="5">F49-C49</f>
        <v>#VALUE!</v>
      </c>
      <c r="H49" s="72"/>
    </row>
    <row r="50" spans="1:8">
      <c r="A50" s="1046"/>
      <c r="B50" s="16" t="s">
        <v>61</v>
      </c>
      <c r="C50" s="71" t="s">
        <v>436</v>
      </c>
      <c r="D50" s="73">
        <f t="shared" si="2"/>
        <v>0</v>
      </c>
      <c r="E50" s="254" t="e">
        <f t="shared" si="3"/>
        <v>#VALUE!</v>
      </c>
      <c r="F50" s="73">
        <f t="shared" si="4"/>
        <v>0</v>
      </c>
      <c r="G50" s="254" t="e">
        <f t="shared" si="5"/>
        <v>#VALUE!</v>
      </c>
      <c r="H50" s="72"/>
    </row>
    <row r="51" spans="1:8">
      <c r="A51" s="1046"/>
      <c r="B51" s="16" t="s">
        <v>89</v>
      </c>
      <c r="C51" s="71" t="s">
        <v>436</v>
      </c>
      <c r="D51" s="73">
        <f t="shared" si="2"/>
        <v>0</v>
      </c>
      <c r="E51" s="254" t="e">
        <f t="shared" si="3"/>
        <v>#VALUE!</v>
      </c>
      <c r="F51" s="73">
        <f t="shared" si="4"/>
        <v>0</v>
      </c>
      <c r="G51" s="254" t="e">
        <f t="shared" si="5"/>
        <v>#VALUE!</v>
      </c>
      <c r="H51" s="72"/>
    </row>
    <row r="52" spans="1:8">
      <c r="A52" s="1046"/>
      <c r="B52" s="16" t="s">
        <v>38</v>
      </c>
      <c r="C52" s="71" t="s">
        <v>436</v>
      </c>
      <c r="D52" s="73">
        <f t="shared" si="2"/>
        <v>0</v>
      </c>
      <c r="E52" s="254" t="e">
        <f t="shared" si="3"/>
        <v>#VALUE!</v>
      </c>
      <c r="F52" s="73">
        <f t="shared" si="4"/>
        <v>0</v>
      </c>
      <c r="G52" s="254" t="e">
        <f t="shared" si="5"/>
        <v>#VALUE!</v>
      </c>
      <c r="H52" s="72"/>
    </row>
    <row r="53" spans="1:8">
      <c r="A53" s="1046"/>
      <c r="B53" s="16" t="s">
        <v>78</v>
      </c>
      <c r="C53" s="71" t="s">
        <v>436</v>
      </c>
      <c r="D53" s="73">
        <f t="shared" si="2"/>
        <v>0</v>
      </c>
      <c r="E53" s="254" t="e">
        <f t="shared" si="3"/>
        <v>#VALUE!</v>
      </c>
      <c r="F53" s="73">
        <f t="shared" si="4"/>
        <v>0</v>
      </c>
      <c r="G53" s="254" t="e">
        <f t="shared" si="5"/>
        <v>#VALUE!</v>
      </c>
      <c r="H53" s="72"/>
    </row>
    <row r="54" spans="1:8">
      <c r="A54" s="1046"/>
      <c r="B54" s="16" t="s">
        <v>193</v>
      </c>
      <c r="C54" s="71">
        <v>60000000</v>
      </c>
      <c r="D54" s="73">
        <f t="shared" si="2"/>
        <v>119000000</v>
      </c>
      <c r="E54" s="254">
        <f t="shared" si="3"/>
        <v>59000000</v>
      </c>
      <c r="F54" s="73">
        <f t="shared" si="4"/>
        <v>245140000</v>
      </c>
      <c r="G54" s="254">
        <f t="shared" si="5"/>
        <v>185140000</v>
      </c>
      <c r="H54" s="72"/>
    </row>
    <row r="55" spans="1:8">
      <c r="A55" s="1046"/>
      <c r="B55" s="16" t="s">
        <v>56</v>
      </c>
      <c r="C55" s="71" t="s">
        <v>436</v>
      </c>
      <c r="D55" s="73">
        <f t="shared" si="2"/>
        <v>0</v>
      </c>
      <c r="E55" s="254" t="e">
        <f t="shared" si="3"/>
        <v>#VALUE!</v>
      </c>
      <c r="F55" s="73">
        <f t="shared" si="4"/>
        <v>0</v>
      </c>
      <c r="G55" s="254" t="e">
        <f t="shared" si="5"/>
        <v>#VALUE!</v>
      </c>
      <c r="H55" s="72"/>
    </row>
    <row r="56" spans="1:8">
      <c r="A56" s="1047"/>
      <c r="B56" s="164" t="s">
        <v>130</v>
      </c>
      <c r="C56" s="74" t="s">
        <v>436</v>
      </c>
      <c r="D56" s="64">
        <f t="shared" si="2"/>
        <v>0</v>
      </c>
      <c r="E56" s="255" t="e">
        <f t="shared" si="3"/>
        <v>#VALUE!</v>
      </c>
      <c r="F56" s="64">
        <f t="shared" si="4"/>
        <v>0</v>
      </c>
      <c r="G56" s="255" t="e">
        <f t="shared" si="5"/>
        <v>#VALUE!</v>
      </c>
      <c r="H56" s="75"/>
    </row>
  </sheetData>
  <mergeCells count="13">
    <mergeCell ref="F12:G12"/>
    <mergeCell ref="F13:H13"/>
    <mergeCell ref="F8:H8"/>
    <mergeCell ref="A1:H1"/>
    <mergeCell ref="A2:A15"/>
    <mergeCell ref="C4:D4"/>
    <mergeCell ref="D5:E5"/>
    <mergeCell ref="G5:H5"/>
    <mergeCell ref="A48:A56"/>
    <mergeCell ref="A17:A24"/>
    <mergeCell ref="A26:A36"/>
    <mergeCell ref="A38:A46"/>
    <mergeCell ref="C3:D3"/>
  </mergeCells>
  <phoneticPr fontId="16" type="noConversion"/>
  <pageMargins left="0.69972223043441772" right="0.69972223043441772" top="0.75" bottom="0.75" header="0.30000001192092896" footer="0.30000001192092896"/>
  <pageSetup paperSize="9" scale="84" orientation="portrait" horizontalDpi="4294967293" verticalDpi="4294967293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J62"/>
  <sheetViews>
    <sheetView showGridLines="0" topLeftCell="A31" zoomScale="85" zoomScaleNormal="85" zoomScaleSheetLayoutView="110" workbookViewId="0">
      <selection activeCell="D37" sqref="D37"/>
    </sheetView>
  </sheetViews>
  <sheetFormatPr defaultColWidth="13.4140625" defaultRowHeight="16"/>
  <cols>
    <col min="1" max="1" width="15.9140625" style="76" bestFit="1" customWidth="1"/>
    <col min="2" max="2" width="18.5" style="77" bestFit="1" customWidth="1"/>
    <col min="3" max="3" width="25.9140625" style="78" customWidth="1"/>
    <col min="4" max="4" width="18.25" style="79" bestFit="1" customWidth="1"/>
    <col min="5" max="5" width="13.9140625" style="76" bestFit="1" customWidth="1"/>
    <col min="6" max="6" width="15.75" style="76" bestFit="1" customWidth="1"/>
    <col min="7" max="7" width="14" style="76" bestFit="1" customWidth="1"/>
    <col min="8" max="8" width="16.9140625" style="76" bestFit="1" customWidth="1"/>
    <col min="9" max="9" width="13.4140625" style="76"/>
    <col min="10" max="12" width="13.4140625" style="76" bestFit="1" customWidth="1"/>
    <col min="13" max="16384" width="13.4140625" style="76"/>
  </cols>
  <sheetData>
    <row r="1" spans="1:8" ht="31.5" customHeight="1">
      <c r="A1" s="927" t="s">
        <v>203</v>
      </c>
      <c r="B1" s="927"/>
      <c r="C1" s="927"/>
      <c r="D1" s="927"/>
      <c r="E1" s="927"/>
      <c r="F1" s="927"/>
      <c r="G1" s="927"/>
      <c r="H1" s="927"/>
    </row>
    <row r="2" spans="1:8" ht="15.5" customHeight="1">
      <c r="A2" s="955" t="s">
        <v>112</v>
      </c>
      <c r="B2" s="6" t="s">
        <v>420</v>
      </c>
      <c r="C2" s="852" t="s">
        <v>201</v>
      </c>
      <c r="D2" s="852"/>
      <c r="E2" s="852"/>
      <c r="F2" s="852"/>
      <c r="G2" s="852"/>
      <c r="H2" s="852"/>
    </row>
    <row r="3" spans="1:8" ht="15" customHeight="1">
      <c r="A3" s="958"/>
      <c r="B3" s="11" t="s">
        <v>471</v>
      </c>
      <c r="C3" s="851" t="s">
        <v>1116</v>
      </c>
      <c r="D3" s="851"/>
      <c r="E3" s="851"/>
      <c r="F3" s="851"/>
      <c r="G3" s="851"/>
      <c r="H3" s="851"/>
    </row>
    <row r="4" spans="1:8">
      <c r="A4" s="958"/>
      <c r="B4" s="11" t="s">
        <v>407</v>
      </c>
      <c r="C4" s="81" t="s">
        <v>252</v>
      </c>
      <c r="D4" s="82"/>
      <c r="E4" s="83"/>
      <c r="F4" s="83"/>
      <c r="G4" s="83"/>
      <c r="H4" s="84"/>
    </row>
    <row r="5" spans="1:8">
      <c r="A5" s="955"/>
      <c r="B5" s="11" t="s">
        <v>58</v>
      </c>
      <c r="C5" s="845" t="s">
        <v>263</v>
      </c>
      <c r="D5" s="846"/>
      <c r="E5" s="85"/>
      <c r="F5" s="85"/>
      <c r="G5" s="85"/>
      <c r="H5" s="86"/>
    </row>
    <row r="6" spans="1:8">
      <c r="A6" s="958"/>
      <c r="B6" s="11" t="s">
        <v>53</v>
      </c>
      <c r="C6" s="845">
        <v>60401.9</v>
      </c>
      <c r="D6" s="847"/>
      <c r="E6" s="85"/>
      <c r="F6" s="85"/>
      <c r="G6" s="85"/>
      <c r="H6" s="86"/>
    </row>
    <row r="7" spans="1:8">
      <c r="A7" s="937"/>
      <c r="B7" s="16" t="s">
        <v>99</v>
      </c>
      <c r="C7" s="87">
        <v>68353.600000000006</v>
      </c>
      <c r="D7" s="840" t="s">
        <v>231</v>
      </c>
      <c r="E7" s="841"/>
      <c r="F7" s="470">
        <f>C7*0.3025/C9</f>
        <v>29.122484507042252</v>
      </c>
      <c r="G7" s="842" t="s">
        <v>524</v>
      </c>
      <c r="H7" s="843"/>
    </row>
    <row r="8" spans="1:8">
      <c r="A8" s="937"/>
      <c r="B8" s="16" t="s">
        <v>425</v>
      </c>
      <c r="C8" s="87">
        <v>13</v>
      </c>
      <c r="D8" s="88"/>
      <c r="E8" s="83"/>
      <c r="F8" s="83"/>
      <c r="G8" s="83"/>
      <c r="H8" s="84"/>
    </row>
    <row r="9" spans="1:8">
      <c r="A9" s="937"/>
      <c r="B9" s="16" t="s">
        <v>335</v>
      </c>
      <c r="C9" s="87">
        <v>710</v>
      </c>
      <c r="D9" s="89" t="s">
        <v>39</v>
      </c>
      <c r="E9" s="90">
        <f>C9/C11</f>
        <v>0.4115942028985507</v>
      </c>
      <c r="F9" s="88"/>
      <c r="G9" s="83"/>
      <c r="H9" s="84"/>
    </row>
    <row r="10" spans="1:8">
      <c r="A10" s="937"/>
      <c r="B10" s="16" t="s">
        <v>54</v>
      </c>
      <c r="C10" s="471">
        <f>C11-C9</f>
        <v>1015</v>
      </c>
      <c r="D10" s="89" t="s">
        <v>145</v>
      </c>
      <c r="E10" s="472">
        <f>C10/C11</f>
        <v>0.58840579710144925</v>
      </c>
      <c r="F10" s="848" t="s">
        <v>29</v>
      </c>
      <c r="G10" s="849"/>
      <c r="H10" s="850"/>
    </row>
    <row r="11" spans="1:8">
      <c r="A11" s="937"/>
      <c r="B11" s="16" t="s">
        <v>150</v>
      </c>
      <c r="C11" s="87">
        <v>1725</v>
      </c>
      <c r="D11" s="177" t="s">
        <v>249</v>
      </c>
      <c r="E11" s="83"/>
      <c r="F11" s="83"/>
      <c r="G11" s="83"/>
      <c r="H11" s="84"/>
    </row>
    <row r="12" spans="1:8">
      <c r="A12" s="937"/>
      <c r="B12" s="16" t="s">
        <v>427</v>
      </c>
      <c r="C12" s="92">
        <v>0.1522</v>
      </c>
      <c r="D12" s="93" t="s">
        <v>84</v>
      </c>
      <c r="E12" s="94">
        <f>C7*C12</f>
        <v>10403.417920000002</v>
      </c>
      <c r="F12" s="95" t="s">
        <v>41</v>
      </c>
      <c r="G12" s="96">
        <f>E13/E12</f>
        <v>17.141918528252297</v>
      </c>
      <c r="H12" s="97"/>
    </row>
    <row r="13" spans="1:8">
      <c r="A13" s="937"/>
      <c r="B13" s="16" t="s">
        <v>466</v>
      </c>
      <c r="C13" s="92">
        <v>2.609</v>
      </c>
      <c r="D13" s="93" t="s">
        <v>91</v>
      </c>
      <c r="E13" s="98">
        <f>C7*C13</f>
        <v>178334.54240000001</v>
      </c>
      <c r="F13" s="95" t="s">
        <v>209</v>
      </c>
      <c r="G13" s="96">
        <f>E13*76%</f>
        <v>135534.252224</v>
      </c>
      <c r="H13" s="99"/>
    </row>
    <row r="14" spans="1:8">
      <c r="A14" s="937"/>
      <c r="B14" s="16" t="s">
        <v>208</v>
      </c>
      <c r="C14" s="100" t="s">
        <v>241</v>
      </c>
      <c r="D14" s="88"/>
      <c r="E14" s="83"/>
      <c r="F14" s="840" t="s">
        <v>234</v>
      </c>
      <c r="G14" s="841"/>
      <c r="H14" s="477">
        <f>G13/C40</f>
        <v>1.227131792553962</v>
      </c>
    </row>
    <row r="15" spans="1:8" ht="15" customHeight="1">
      <c r="A15" s="937"/>
      <c r="B15" s="16" t="s">
        <v>441</v>
      </c>
      <c r="C15" s="101" t="s">
        <v>399</v>
      </c>
      <c r="D15" s="102"/>
      <c r="E15" s="103"/>
      <c r="F15" s="848" t="s">
        <v>392</v>
      </c>
      <c r="G15" s="849"/>
      <c r="H15" s="850"/>
    </row>
    <row r="16" spans="1:8">
      <c r="A16" s="937"/>
      <c r="B16" s="32" t="s">
        <v>87</v>
      </c>
      <c r="C16" s="222">
        <v>1.03</v>
      </c>
      <c r="D16" s="104"/>
      <c r="E16" s="83"/>
      <c r="F16" s="83"/>
      <c r="G16" s="83"/>
      <c r="H16" s="84"/>
    </row>
    <row r="17" spans="1:8" ht="15" customHeight="1">
      <c r="A17" s="955"/>
      <c r="B17" s="844" t="s">
        <v>470</v>
      </c>
      <c r="C17" s="105" t="s">
        <v>178</v>
      </c>
      <c r="D17" s="105" t="s">
        <v>236</v>
      </c>
      <c r="E17" s="106"/>
      <c r="F17" s="106"/>
      <c r="G17" s="106"/>
      <c r="H17" s="107"/>
    </row>
    <row r="18" spans="1:8">
      <c r="A18" s="938"/>
      <c r="B18" s="844"/>
      <c r="C18" s="108" t="s">
        <v>316</v>
      </c>
      <c r="D18" s="109"/>
      <c r="E18" s="110"/>
      <c r="F18" s="110"/>
      <c r="G18" s="110"/>
      <c r="H18" s="111"/>
    </row>
    <row r="19" spans="1:8" ht="5.25" customHeight="1">
      <c r="A19" s="112"/>
      <c r="B19" s="40"/>
      <c r="C19" s="113"/>
      <c r="D19" s="113"/>
      <c r="H19" s="114"/>
    </row>
    <row r="20" spans="1:8">
      <c r="A20" s="955" t="s">
        <v>49</v>
      </c>
      <c r="B20" s="43" t="s">
        <v>174</v>
      </c>
      <c r="C20" s="115" t="s">
        <v>314</v>
      </c>
      <c r="D20" s="116"/>
      <c r="E20" s="117"/>
      <c r="F20" s="117"/>
      <c r="G20" s="117"/>
      <c r="H20" s="118"/>
    </row>
    <row r="21" spans="1:8">
      <c r="A21" s="956"/>
      <c r="B21" s="25" t="s">
        <v>65</v>
      </c>
      <c r="C21" s="119" t="s">
        <v>315</v>
      </c>
      <c r="D21" s="120"/>
      <c r="E21" s="83"/>
      <c r="F21" s="83"/>
      <c r="G21" s="83"/>
      <c r="H21" s="84"/>
    </row>
    <row r="22" spans="1:8">
      <c r="A22" s="955"/>
      <c r="B22" s="25" t="s">
        <v>95</v>
      </c>
      <c r="C22" s="93" t="s">
        <v>311</v>
      </c>
      <c r="D22" s="120"/>
      <c r="E22" s="83"/>
      <c r="F22" s="83"/>
      <c r="G22" s="83"/>
      <c r="H22" s="84"/>
    </row>
    <row r="23" spans="1:8">
      <c r="A23" s="956"/>
      <c r="B23" s="25" t="s">
        <v>59</v>
      </c>
      <c r="C23" s="93" t="s">
        <v>313</v>
      </c>
      <c r="D23" s="120"/>
      <c r="E23" s="83"/>
      <c r="F23" s="83"/>
      <c r="G23" s="83"/>
      <c r="H23" s="84"/>
    </row>
    <row r="24" spans="1:8">
      <c r="A24" s="955"/>
      <c r="B24" s="25" t="s">
        <v>452</v>
      </c>
      <c r="C24" s="93" t="s">
        <v>318</v>
      </c>
      <c r="D24" s="120"/>
      <c r="E24" s="83"/>
      <c r="F24" s="83"/>
      <c r="G24" s="83"/>
      <c r="H24" s="84"/>
    </row>
    <row r="25" spans="1:8">
      <c r="A25" s="956"/>
      <c r="B25" s="25" t="s">
        <v>445</v>
      </c>
      <c r="C25" s="93" t="s">
        <v>184</v>
      </c>
      <c r="D25" s="91"/>
      <c r="E25" s="83"/>
      <c r="F25" s="83"/>
      <c r="G25" s="83"/>
      <c r="H25" s="84"/>
    </row>
    <row r="26" spans="1:8">
      <c r="A26" s="956"/>
      <c r="B26" s="25" t="s">
        <v>167</v>
      </c>
      <c r="C26" s="93" t="s">
        <v>307</v>
      </c>
      <c r="D26" s="91"/>
      <c r="E26" s="83"/>
      <c r="F26" s="83"/>
      <c r="G26" s="83"/>
      <c r="H26" s="84"/>
    </row>
    <row r="27" spans="1:8">
      <c r="A27" s="956"/>
      <c r="B27" s="25" t="s">
        <v>447</v>
      </c>
      <c r="C27" s="93" t="s">
        <v>259</v>
      </c>
      <c r="D27" s="91"/>
      <c r="E27" s="83"/>
      <c r="F27" s="83"/>
      <c r="G27" s="83"/>
      <c r="H27" s="84"/>
    </row>
    <row r="28" spans="1:8">
      <c r="A28" s="957"/>
      <c r="B28" s="35"/>
      <c r="C28" s="122"/>
      <c r="D28" s="123"/>
      <c r="E28" s="110"/>
      <c r="F28" s="110"/>
      <c r="G28" s="110"/>
      <c r="H28" s="111"/>
    </row>
    <row r="29" spans="1:8" ht="5.25" customHeight="1">
      <c r="A29" s="112"/>
      <c r="B29" s="40"/>
      <c r="C29" s="3"/>
      <c r="H29" s="114"/>
    </row>
    <row r="30" spans="1:8" s="80" customFormat="1" ht="13.5" customHeight="1">
      <c r="A30" s="955" t="s">
        <v>160</v>
      </c>
      <c r="B30" s="124" t="s">
        <v>101</v>
      </c>
      <c r="C30" s="125" t="s">
        <v>48</v>
      </c>
      <c r="D30" s="126" t="s">
        <v>125</v>
      </c>
      <c r="E30" s="126" t="s">
        <v>434</v>
      </c>
      <c r="F30" s="126" t="s">
        <v>414</v>
      </c>
      <c r="G30" s="127" t="s">
        <v>465</v>
      </c>
      <c r="H30" s="127" t="s">
        <v>454</v>
      </c>
    </row>
    <row r="31" spans="1:8">
      <c r="A31" s="956"/>
      <c r="B31" s="129" t="s">
        <v>179</v>
      </c>
      <c r="C31" s="130">
        <f>39*D31</f>
        <v>3393</v>
      </c>
      <c r="D31" s="87">
        <v>87</v>
      </c>
      <c r="E31" s="87" t="s">
        <v>436</v>
      </c>
      <c r="F31" s="87" t="s">
        <v>436</v>
      </c>
      <c r="G31" s="225" t="s">
        <v>436</v>
      </c>
      <c r="H31" s="131">
        <f t="shared" ref="H31:H39" si="0">D31/$D$40</f>
        <v>5.0434782608695654E-2</v>
      </c>
    </row>
    <row r="32" spans="1:8">
      <c r="A32" s="956"/>
      <c r="B32" s="129" t="s">
        <v>131</v>
      </c>
      <c r="C32" s="130">
        <f>59*D32</f>
        <v>45312</v>
      </c>
      <c r="D32" s="87">
        <v>768</v>
      </c>
      <c r="E32" s="87">
        <f t="shared" ref="E32:E39" si="1">D32-F32-G32</f>
        <v>603</v>
      </c>
      <c r="F32" s="87">
        <v>163</v>
      </c>
      <c r="G32" s="223">
        <v>2</v>
      </c>
      <c r="H32" s="131">
        <f t="shared" si="0"/>
        <v>0.44521739130434784</v>
      </c>
    </row>
    <row r="33" spans="1:10">
      <c r="A33" s="955"/>
      <c r="B33" s="129" t="s">
        <v>183</v>
      </c>
      <c r="C33" s="130">
        <f>59*D33</f>
        <v>13275</v>
      </c>
      <c r="D33" s="87">
        <v>225</v>
      </c>
      <c r="E33" s="87">
        <f t="shared" si="1"/>
        <v>223</v>
      </c>
      <c r="F33" s="87">
        <v>1</v>
      </c>
      <c r="G33" s="223">
        <v>1</v>
      </c>
      <c r="H33" s="131">
        <f t="shared" si="0"/>
        <v>0.13043478260869565</v>
      </c>
    </row>
    <row r="34" spans="1:10">
      <c r="A34" s="958"/>
      <c r="B34" s="129" t="s">
        <v>204</v>
      </c>
      <c r="C34" s="130">
        <f>67*D34</f>
        <v>8844</v>
      </c>
      <c r="D34" s="133">
        <v>132</v>
      </c>
      <c r="E34" s="87">
        <f t="shared" si="1"/>
        <v>2</v>
      </c>
      <c r="F34" s="133">
        <v>130</v>
      </c>
      <c r="G34" s="223">
        <v>0</v>
      </c>
      <c r="H34" s="131">
        <f t="shared" si="0"/>
        <v>7.6521739130434779E-2</v>
      </c>
    </row>
    <row r="35" spans="1:10">
      <c r="A35" s="955"/>
      <c r="B35" s="129" t="s">
        <v>195</v>
      </c>
      <c r="C35" s="130">
        <f>67*D35</f>
        <v>9112</v>
      </c>
      <c r="D35" s="133">
        <v>136</v>
      </c>
      <c r="E35" s="87">
        <f t="shared" si="1"/>
        <v>30</v>
      </c>
      <c r="F35" s="133">
        <v>104</v>
      </c>
      <c r="G35" s="223">
        <v>2</v>
      </c>
      <c r="H35" s="131">
        <f t="shared" si="0"/>
        <v>7.8840579710144923E-2</v>
      </c>
    </row>
    <row r="36" spans="1:10">
      <c r="A36" s="958"/>
      <c r="B36" s="129" t="s">
        <v>212</v>
      </c>
      <c r="C36" s="130">
        <f>67*D36</f>
        <v>4556</v>
      </c>
      <c r="D36" s="133">
        <v>68</v>
      </c>
      <c r="E36" s="87">
        <f t="shared" si="1"/>
        <v>49</v>
      </c>
      <c r="F36" s="133">
        <v>17</v>
      </c>
      <c r="G36" s="223">
        <v>2</v>
      </c>
      <c r="H36" s="131">
        <f t="shared" si="0"/>
        <v>3.9420289855072461E-2</v>
      </c>
    </row>
    <row r="37" spans="1:10">
      <c r="A37" s="958"/>
      <c r="B37" s="129" t="s">
        <v>199</v>
      </c>
      <c r="C37" s="130">
        <f>84*D37</f>
        <v>10584</v>
      </c>
      <c r="D37" s="133">
        <v>126</v>
      </c>
      <c r="E37" s="87">
        <f t="shared" si="1"/>
        <v>1</v>
      </c>
      <c r="F37" s="133">
        <v>125</v>
      </c>
      <c r="G37" s="223">
        <v>0</v>
      </c>
      <c r="H37" s="131">
        <f t="shared" si="0"/>
        <v>7.3043478260869571E-2</v>
      </c>
    </row>
    <row r="38" spans="1:10">
      <c r="A38" s="958"/>
      <c r="B38" s="129" t="s">
        <v>206</v>
      </c>
      <c r="C38" s="130">
        <f>84*D38</f>
        <v>5040</v>
      </c>
      <c r="D38" s="133">
        <v>60</v>
      </c>
      <c r="E38" s="87">
        <f t="shared" si="1"/>
        <v>1</v>
      </c>
      <c r="F38" s="133">
        <v>59</v>
      </c>
      <c r="G38" s="223">
        <v>0</v>
      </c>
      <c r="H38" s="131">
        <f t="shared" si="0"/>
        <v>3.4782608695652174E-2</v>
      </c>
    </row>
    <row r="39" spans="1:10">
      <c r="A39" s="958"/>
      <c r="B39" s="129" t="s">
        <v>188</v>
      </c>
      <c r="C39" s="130">
        <f>84*D39</f>
        <v>10332</v>
      </c>
      <c r="D39" s="133">
        <v>123</v>
      </c>
      <c r="E39" s="87">
        <f t="shared" si="1"/>
        <v>1</v>
      </c>
      <c r="F39" s="133">
        <v>122</v>
      </c>
      <c r="G39" s="223">
        <v>0</v>
      </c>
      <c r="H39" s="131">
        <f t="shared" si="0"/>
        <v>7.1304347826086953E-2</v>
      </c>
    </row>
    <row r="40" spans="1:10">
      <c r="A40" s="957"/>
      <c r="B40" s="129" t="s">
        <v>462</v>
      </c>
      <c r="C40" s="57">
        <f t="shared" ref="C40:H40" si="2">SUM(C31:C39)</f>
        <v>110448</v>
      </c>
      <c r="D40" s="57">
        <f t="shared" si="2"/>
        <v>1725</v>
      </c>
      <c r="E40" s="57">
        <f t="shared" si="2"/>
        <v>910</v>
      </c>
      <c r="F40" s="57">
        <f t="shared" si="2"/>
        <v>721</v>
      </c>
      <c r="G40" s="224">
        <f t="shared" si="2"/>
        <v>7</v>
      </c>
      <c r="H40" s="135">
        <f t="shared" si="2"/>
        <v>1</v>
      </c>
    </row>
    <row r="41" spans="1:10" ht="6" customHeight="1">
      <c r="A41" s="112"/>
      <c r="B41" s="40"/>
      <c r="C41" s="3"/>
      <c r="H41" s="114"/>
    </row>
    <row r="42" spans="1:10" s="77" customFormat="1" ht="15.5" customHeight="1">
      <c r="A42" s="1043" t="s">
        <v>1</v>
      </c>
      <c r="B42" s="124" t="s">
        <v>451</v>
      </c>
      <c r="C42" s="126" t="s">
        <v>901</v>
      </c>
      <c r="D42" s="126" t="s">
        <v>902</v>
      </c>
      <c r="E42" s="466" t="s">
        <v>43</v>
      </c>
      <c r="F42" s="126" t="s">
        <v>903</v>
      </c>
      <c r="G42" s="467" t="s">
        <v>172</v>
      </c>
      <c r="H42" s="137" t="s">
        <v>470</v>
      </c>
    </row>
    <row r="43" spans="1:10" ht="16.5" customHeight="1">
      <c r="A43" s="1043"/>
      <c r="B43" s="129" t="s">
        <v>179</v>
      </c>
      <c r="C43" s="138" t="s">
        <v>436</v>
      </c>
      <c r="D43" s="138" t="s">
        <v>436</v>
      </c>
      <c r="E43" s="362" t="e">
        <f>(D43-C43)*17</f>
        <v>#VALUE!</v>
      </c>
      <c r="F43" s="138" t="s">
        <v>436</v>
      </c>
      <c r="G43" s="362" t="e">
        <f>(F43-C43)*17</f>
        <v>#VALUE!</v>
      </c>
      <c r="H43" s="140" t="s">
        <v>449</v>
      </c>
    </row>
    <row r="44" spans="1:10" ht="16.5" customHeight="1">
      <c r="A44" s="1043"/>
      <c r="B44" s="129" t="s">
        <v>131</v>
      </c>
      <c r="C44" s="138">
        <f>232466000/25</f>
        <v>9298640</v>
      </c>
      <c r="D44" s="138">
        <v>11000000</v>
      </c>
      <c r="E44" s="362">
        <f>(D44-C44)*25</f>
        <v>42534000</v>
      </c>
      <c r="F44" s="138">
        <v>10300000</v>
      </c>
      <c r="G44" s="362">
        <f>(F44-C44)*25</f>
        <v>25034000</v>
      </c>
      <c r="H44" s="140" t="s">
        <v>11</v>
      </c>
    </row>
    <row r="45" spans="1:10" ht="16.5" customHeight="1">
      <c r="A45" s="1043"/>
      <c r="B45" s="129" t="s">
        <v>183</v>
      </c>
      <c r="C45" s="138">
        <f>232466000/25</f>
        <v>9298640</v>
      </c>
      <c r="D45" s="138">
        <v>11000000</v>
      </c>
      <c r="E45" s="362">
        <f>(D45-C45)*25</f>
        <v>42534000</v>
      </c>
      <c r="F45" s="138">
        <v>10300000</v>
      </c>
      <c r="G45" s="362">
        <f>(F45-C45)*25</f>
        <v>25034000</v>
      </c>
      <c r="H45" s="140"/>
    </row>
    <row r="46" spans="1:10" ht="16.5" customHeight="1">
      <c r="A46" s="1043"/>
      <c r="B46" s="129" t="s">
        <v>204</v>
      </c>
      <c r="C46" s="138">
        <f>266842000/30</f>
        <v>8894733.333333334</v>
      </c>
      <c r="D46" s="138">
        <v>11000000</v>
      </c>
      <c r="E46" s="362">
        <f>(D46-C46)*30</f>
        <v>63157999.999999985</v>
      </c>
      <c r="F46" s="138">
        <v>10300000</v>
      </c>
      <c r="G46" s="362">
        <f>(F46-C46)*30</f>
        <v>42157999.999999985</v>
      </c>
      <c r="H46" s="140"/>
      <c r="I46" s="76" t="s">
        <v>7</v>
      </c>
    </row>
    <row r="47" spans="1:10" ht="16.5" customHeight="1">
      <c r="A47" s="1043"/>
      <c r="B47" s="129" t="s">
        <v>195</v>
      </c>
      <c r="C47" s="138">
        <f>266842000/30</f>
        <v>8894733.333333334</v>
      </c>
      <c r="D47" s="138">
        <v>11000000</v>
      </c>
      <c r="E47" s="362">
        <f>(D47-C47)*30</f>
        <v>63157999.999999985</v>
      </c>
      <c r="F47" s="138">
        <v>10300000</v>
      </c>
      <c r="G47" s="362">
        <f>(F47-C47)*30</f>
        <v>42157999.999999985</v>
      </c>
      <c r="H47" s="140"/>
    </row>
    <row r="48" spans="1:10" ht="16.5" customHeight="1">
      <c r="A48" s="1043"/>
      <c r="B48" s="129" t="s">
        <v>212</v>
      </c>
      <c r="C48" s="138">
        <f>266842000/30</f>
        <v>8894733.333333334</v>
      </c>
      <c r="D48" s="138">
        <v>11000000</v>
      </c>
      <c r="E48" s="362">
        <f>(D48-C48)*30</f>
        <v>63157999.999999985</v>
      </c>
      <c r="F48" s="138">
        <v>10300000</v>
      </c>
      <c r="G48" s="362">
        <f>(F48-C48)*30</f>
        <v>42157999.999999985</v>
      </c>
      <c r="H48" s="140"/>
      <c r="J48" s="370"/>
    </row>
    <row r="49" spans="1:8" ht="16.5" customHeight="1">
      <c r="A49" s="1043"/>
      <c r="B49" s="129" t="s">
        <v>199</v>
      </c>
      <c r="C49" s="138">
        <f>301369000/34</f>
        <v>8863794.1176470593</v>
      </c>
      <c r="D49" s="138">
        <v>11000000</v>
      </c>
      <c r="E49" s="362">
        <f>(D49-C49)*34</f>
        <v>72630999.999999985</v>
      </c>
      <c r="F49" s="138">
        <v>10300000</v>
      </c>
      <c r="G49" s="362">
        <f>(F49-C49)*34</f>
        <v>48830999.999999985</v>
      </c>
      <c r="H49" s="140" t="s">
        <v>254</v>
      </c>
    </row>
    <row r="50" spans="1:8" ht="16.5" customHeight="1">
      <c r="A50" s="1043"/>
      <c r="B50" s="129" t="s">
        <v>206</v>
      </c>
      <c r="C50" s="138">
        <f>301369000/34</f>
        <v>8863794.1176470593</v>
      </c>
      <c r="D50" s="138">
        <v>11000000</v>
      </c>
      <c r="E50" s="362">
        <f>(D50-C50)*34</f>
        <v>72630999.999999985</v>
      </c>
      <c r="F50" s="138">
        <v>10300000</v>
      </c>
      <c r="G50" s="362">
        <f>(F50-C50)*34</f>
        <v>48830999.999999985</v>
      </c>
      <c r="H50" s="140"/>
    </row>
    <row r="51" spans="1:8" ht="16.5" customHeight="1">
      <c r="A51" s="1043"/>
      <c r="B51" s="129" t="s">
        <v>188</v>
      </c>
      <c r="C51" s="138">
        <f>301369000/34</f>
        <v>8863794.1176470593</v>
      </c>
      <c r="D51" s="138">
        <v>11000000</v>
      </c>
      <c r="E51" s="362">
        <f>(D51-C51)*34</f>
        <v>72630999.999999985</v>
      </c>
      <c r="F51" s="138">
        <v>10300000</v>
      </c>
      <c r="G51" s="362">
        <f>(F51-C51)*34</f>
        <v>48830999.999999985</v>
      </c>
      <c r="H51" s="140"/>
    </row>
    <row r="52" spans="1:8" ht="5.25" customHeight="1">
      <c r="A52" s="142"/>
      <c r="B52" s="143"/>
      <c r="C52" s="144"/>
      <c r="D52" s="144"/>
      <c r="E52" s="145"/>
      <c r="F52" s="144"/>
      <c r="G52" s="145"/>
      <c r="H52" s="146"/>
    </row>
    <row r="53" spans="1:8" ht="60.15" customHeight="1">
      <c r="A53" s="952" t="s">
        <v>286</v>
      </c>
      <c r="B53" s="126" t="s">
        <v>101</v>
      </c>
      <c r="C53" s="508" t="s">
        <v>1393</v>
      </c>
      <c r="D53" s="147" t="s">
        <v>247</v>
      </c>
      <c r="E53" s="468" t="s">
        <v>322</v>
      </c>
      <c r="F53" s="147" t="s">
        <v>222</v>
      </c>
      <c r="G53" s="468" t="s">
        <v>367</v>
      </c>
      <c r="H53" s="137" t="s">
        <v>470</v>
      </c>
    </row>
    <row r="54" spans="1:8">
      <c r="A54" s="953"/>
      <c r="B54" s="129" t="s">
        <v>179</v>
      </c>
      <c r="C54" s="148" t="s">
        <v>436</v>
      </c>
      <c r="D54" s="139" t="e">
        <f t="shared" ref="D54:D62" si="3">E43</f>
        <v>#VALUE!</v>
      </c>
      <c r="E54" s="362" t="e">
        <f t="shared" ref="E54:E62" si="4">D54-C54</f>
        <v>#VALUE!</v>
      </c>
      <c r="F54" s="139" t="e">
        <f t="shared" ref="F54:F62" si="5">G43</f>
        <v>#VALUE!</v>
      </c>
      <c r="G54" s="362" t="e">
        <f t="shared" ref="G54:G62" si="6">F54-C54</f>
        <v>#VALUE!</v>
      </c>
      <c r="H54" s="140" t="s">
        <v>449</v>
      </c>
    </row>
    <row r="55" spans="1:8">
      <c r="A55" s="953"/>
      <c r="B55" s="129" t="s">
        <v>131</v>
      </c>
      <c r="C55" s="148">
        <v>30000000</v>
      </c>
      <c r="D55" s="139">
        <f t="shared" si="3"/>
        <v>42534000</v>
      </c>
      <c r="E55" s="362">
        <f t="shared" si="4"/>
        <v>12534000</v>
      </c>
      <c r="F55" s="139">
        <f t="shared" si="5"/>
        <v>25034000</v>
      </c>
      <c r="G55" s="362">
        <f t="shared" si="6"/>
        <v>-4966000</v>
      </c>
      <c r="H55" s="140"/>
    </row>
    <row r="56" spans="1:8">
      <c r="A56" s="953"/>
      <c r="B56" s="129" t="s">
        <v>183</v>
      </c>
      <c r="C56" s="148">
        <v>30000000</v>
      </c>
      <c r="D56" s="139">
        <f t="shared" si="3"/>
        <v>42534000</v>
      </c>
      <c r="E56" s="362">
        <f t="shared" si="4"/>
        <v>12534000</v>
      </c>
      <c r="F56" s="139">
        <f t="shared" si="5"/>
        <v>25034000</v>
      </c>
      <c r="G56" s="362">
        <f t="shared" si="6"/>
        <v>-4966000</v>
      </c>
      <c r="H56" s="140"/>
    </row>
    <row r="57" spans="1:8">
      <c r="A57" s="953"/>
      <c r="B57" s="129" t="s">
        <v>204</v>
      </c>
      <c r="C57" s="148">
        <v>35000000</v>
      </c>
      <c r="D57" s="139">
        <f t="shared" si="3"/>
        <v>63157999.999999985</v>
      </c>
      <c r="E57" s="362">
        <f t="shared" si="4"/>
        <v>28157999.999999985</v>
      </c>
      <c r="F57" s="139">
        <f t="shared" si="5"/>
        <v>42157999.999999985</v>
      </c>
      <c r="G57" s="362">
        <f t="shared" si="6"/>
        <v>7157999.9999999851</v>
      </c>
      <c r="H57" s="140"/>
    </row>
    <row r="58" spans="1:8">
      <c r="A58" s="953"/>
      <c r="B58" s="129" t="s">
        <v>195</v>
      </c>
      <c r="C58" s="148">
        <v>35000000</v>
      </c>
      <c r="D58" s="139">
        <f t="shared" si="3"/>
        <v>63157999.999999985</v>
      </c>
      <c r="E58" s="362">
        <f t="shared" si="4"/>
        <v>28157999.999999985</v>
      </c>
      <c r="F58" s="139">
        <f t="shared" si="5"/>
        <v>42157999.999999985</v>
      </c>
      <c r="G58" s="362">
        <f t="shared" si="6"/>
        <v>7157999.9999999851</v>
      </c>
      <c r="H58" s="140"/>
    </row>
    <row r="59" spans="1:8">
      <c r="A59" s="953"/>
      <c r="B59" s="129" t="s">
        <v>212</v>
      </c>
      <c r="C59" s="148">
        <v>35000000</v>
      </c>
      <c r="D59" s="139">
        <f t="shared" si="3"/>
        <v>63157999.999999985</v>
      </c>
      <c r="E59" s="362">
        <f t="shared" si="4"/>
        <v>28157999.999999985</v>
      </c>
      <c r="F59" s="139">
        <f t="shared" si="5"/>
        <v>42157999.999999985</v>
      </c>
      <c r="G59" s="362">
        <f t="shared" si="6"/>
        <v>7157999.9999999851</v>
      </c>
      <c r="H59" s="140"/>
    </row>
    <row r="60" spans="1:8">
      <c r="A60" s="953"/>
      <c r="B60" s="129" t="s">
        <v>199</v>
      </c>
      <c r="C60" s="148">
        <v>40000000</v>
      </c>
      <c r="D60" s="139">
        <f t="shared" si="3"/>
        <v>72630999.999999985</v>
      </c>
      <c r="E60" s="362">
        <f t="shared" si="4"/>
        <v>32630999.999999985</v>
      </c>
      <c r="F60" s="139">
        <f t="shared" si="5"/>
        <v>48830999.999999985</v>
      </c>
      <c r="G60" s="362">
        <f t="shared" si="6"/>
        <v>8830999.9999999851</v>
      </c>
      <c r="H60" s="221"/>
    </row>
    <row r="61" spans="1:8">
      <c r="A61" s="953"/>
      <c r="B61" s="129" t="s">
        <v>206</v>
      </c>
      <c r="C61" s="148">
        <v>40000000</v>
      </c>
      <c r="D61" s="139">
        <f t="shared" si="3"/>
        <v>72630999.999999985</v>
      </c>
      <c r="E61" s="362">
        <f t="shared" si="4"/>
        <v>32630999.999999985</v>
      </c>
      <c r="F61" s="139">
        <f t="shared" si="5"/>
        <v>48830999.999999985</v>
      </c>
      <c r="G61" s="362">
        <f t="shared" si="6"/>
        <v>8830999.9999999851</v>
      </c>
      <c r="H61" s="140"/>
    </row>
    <row r="62" spans="1:8">
      <c r="A62" s="953"/>
      <c r="B62" s="129" t="s">
        <v>188</v>
      </c>
      <c r="C62" s="148">
        <v>40000000</v>
      </c>
      <c r="D62" s="139">
        <f t="shared" si="3"/>
        <v>72630999.999999985</v>
      </c>
      <c r="E62" s="362">
        <f t="shared" si="4"/>
        <v>32630999.999999985</v>
      </c>
      <c r="F62" s="139">
        <f t="shared" si="5"/>
        <v>48830999.999999985</v>
      </c>
      <c r="G62" s="362">
        <f t="shared" si="6"/>
        <v>8830999.9999999851</v>
      </c>
      <c r="H62" s="140"/>
    </row>
  </sheetData>
  <mergeCells count="16">
    <mergeCell ref="A1:H1"/>
    <mergeCell ref="A2:A18"/>
    <mergeCell ref="D7:E7"/>
    <mergeCell ref="G7:H7"/>
    <mergeCell ref="B17:B18"/>
    <mergeCell ref="C5:D5"/>
    <mergeCell ref="C6:D6"/>
    <mergeCell ref="F10:H10"/>
    <mergeCell ref="C3:H3"/>
    <mergeCell ref="C2:H2"/>
    <mergeCell ref="A53:A62"/>
    <mergeCell ref="A20:A28"/>
    <mergeCell ref="A30:A40"/>
    <mergeCell ref="A42:A51"/>
    <mergeCell ref="F14:G14"/>
    <mergeCell ref="F15:H15"/>
  </mergeCells>
  <phoneticPr fontId="16" type="noConversion"/>
  <pageMargins left="0.69972223043441772" right="0.69972223043441772" top="0.75" bottom="0.75" header="0.30000001192092896" footer="0.30000001192092896"/>
  <pageSetup paperSize="9" scale="53" orientation="portrait" horizontalDpi="4294967293" verticalDpi="4294967293" r:id="rId1"/>
  <rowBreaks count="3" manualBreakCount="3">
    <brk id="65" max="1048575" man="1"/>
    <brk id="83" max="1048575" man="1"/>
    <brk id="89" max="1048575" man="1"/>
  </rowBreaks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6"/>
  <sheetViews>
    <sheetView showGridLines="0" topLeftCell="A64" zoomScale="85" zoomScaleNormal="85" zoomScaleSheetLayoutView="110" workbookViewId="0">
      <selection activeCell="D57" sqref="D57"/>
    </sheetView>
  </sheetViews>
  <sheetFormatPr defaultColWidth="13.4140625" defaultRowHeight="16"/>
  <cols>
    <col min="1" max="1" width="15.9140625" style="76" bestFit="1" customWidth="1"/>
    <col min="2" max="2" width="18.5" style="77" bestFit="1" customWidth="1"/>
    <col min="3" max="3" width="27" style="78" customWidth="1"/>
    <col min="4" max="4" width="17.75" style="79" customWidth="1"/>
    <col min="5" max="5" width="13.9140625" style="76" bestFit="1" customWidth="1"/>
    <col min="6" max="6" width="15.75" style="76" bestFit="1" customWidth="1"/>
    <col min="7" max="7" width="14" style="76" bestFit="1" customWidth="1"/>
    <col min="8" max="8" width="25.33203125" style="76" bestFit="1" customWidth="1"/>
    <col min="9" max="9" width="13.4140625" style="76"/>
    <col min="10" max="12" width="13.4140625" style="76" bestFit="1" customWidth="1"/>
    <col min="13" max="16384" width="13.4140625" style="76"/>
  </cols>
  <sheetData>
    <row r="1" spans="1:8" ht="31.5" customHeight="1" thickBot="1">
      <c r="A1" s="1021" t="s">
        <v>483</v>
      </c>
      <c r="B1" s="1021"/>
      <c r="C1" s="1021"/>
      <c r="D1" s="1021"/>
      <c r="E1" s="1021"/>
      <c r="F1" s="1021"/>
      <c r="G1" s="1021"/>
      <c r="H1" s="1021"/>
    </row>
    <row r="2" spans="1:8" ht="15.5" customHeight="1">
      <c r="A2" s="821" t="s">
        <v>112</v>
      </c>
      <c r="B2" s="6" t="s">
        <v>420</v>
      </c>
      <c r="C2" s="852" t="s">
        <v>484</v>
      </c>
      <c r="D2" s="852"/>
      <c r="E2" s="852"/>
      <c r="F2" s="852"/>
      <c r="G2" s="852"/>
      <c r="H2" s="852"/>
    </row>
    <row r="3" spans="1:8" ht="15" customHeight="1">
      <c r="A3" s="829"/>
      <c r="B3" s="11" t="s">
        <v>471</v>
      </c>
      <c r="C3" s="851" t="s">
        <v>483</v>
      </c>
      <c r="D3" s="851"/>
      <c r="E3" s="851"/>
      <c r="F3" s="851"/>
      <c r="G3" s="851"/>
      <c r="H3" s="851"/>
    </row>
    <row r="4" spans="1:8" ht="16.5" thickBot="1">
      <c r="A4" s="829"/>
      <c r="B4" s="11" t="s">
        <v>407</v>
      </c>
      <c r="C4" s="231" t="s">
        <v>485</v>
      </c>
      <c r="D4" s="232"/>
      <c r="E4" s="83"/>
      <c r="F4" s="83"/>
      <c r="G4" s="83"/>
      <c r="H4" s="84"/>
    </row>
    <row r="5" spans="1:8">
      <c r="A5" s="821"/>
      <c r="B5" s="11" t="s">
        <v>58</v>
      </c>
      <c r="C5" s="845" t="s">
        <v>263</v>
      </c>
      <c r="D5" s="846"/>
      <c r="E5" s="85"/>
      <c r="F5" s="85"/>
      <c r="G5" s="85"/>
      <c r="H5" s="86"/>
    </row>
    <row r="6" spans="1:8">
      <c r="A6" s="829"/>
      <c r="B6" s="11" t="s">
        <v>53</v>
      </c>
      <c r="C6" s="845"/>
      <c r="D6" s="847"/>
      <c r="E6" s="85"/>
      <c r="F6" s="85"/>
      <c r="G6" s="85"/>
      <c r="H6" s="86"/>
    </row>
    <row r="7" spans="1:8">
      <c r="A7" s="838"/>
      <c r="B7" s="16" t="s">
        <v>99</v>
      </c>
      <c r="C7" s="87">
        <v>57543.1</v>
      </c>
      <c r="D7" s="840" t="s">
        <v>231</v>
      </c>
      <c r="E7" s="841"/>
      <c r="F7" s="359">
        <f>C7*0.3025/C9</f>
        <v>38.425580022075053</v>
      </c>
      <c r="G7" s="842" t="s">
        <v>524</v>
      </c>
      <c r="H7" s="843"/>
    </row>
    <row r="8" spans="1:8">
      <c r="A8" s="838"/>
      <c r="B8" s="16" t="s">
        <v>425</v>
      </c>
      <c r="C8" s="87">
        <v>17</v>
      </c>
      <c r="D8" s="88"/>
      <c r="E8" s="83"/>
      <c r="F8" s="83"/>
      <c r="G8" s="83"/>
      <c r="H8" s="84"/>
    </row>
    <row r="9" spans="1:8">
      <c r="A9" s="838"/>
      <c r="B9" s="16" t="s">
        <v>335</v>
      </c>
      <c r="C9" s="87">
        <v>453</v>
      </c>
      <c r="D9" s="89" t="s">
        <v>39</v>
      </c>
      <c r="E9" s="90">
        <f>C9/C11</f>
        <v>0.3460656990068755</v>
      </c>
      <c r="F9" s="88"/>
      <c r="G9" s="83"/>
      <c r="H9" s="84"/>
    </row>
    <row r="10" spans="1:8">
      <c r="A10" s="838"/>
      <c r="B10" s="16" t="s">
        <v>54</v>
      </c>
      <c r="C10" s="360">
        <f>C11-C9</f>
        <v>856</v>
      </c>
      <c r="D10" s="89" t="s">
        <v>145</v>
      </c>
      <c r="E10" s="361">
        <f>C10/C11</f>
        <v>0.65393430099312455</v>
      </c>
      <c r="F10" s="848" t="s">
        <v>29</v>
      </c>
      <c r="G10" s="849"/>
      <c r="H10" s="850"/>
    </row>
    <row r="11" spans="1:8">
      <c r="A11" s="838"/>
      <c r="B11" s="16" t="s">
        <v>150</v>
      </c>
      <c r="C11" s="87">
        <v>1309</v>
      </c>
      <c r="D11" s="233" t="s">
        <v>495</v>
      </c>
      <c r="E11" s="83"/>
      <c r="F11" s="83"/>
      <c r="G11" s="83"/>
      <c r="H11" s="84"/>
    </row>
    <row r="12" spans="1:8">
      <c r="A12" s="838"/>
      <c r="B12" s="16" t="s">
        <v>427</v>
      </c>
      <c r="C12" s="92">
        <v>0.18160000000000001</v>
      </c>
      <c r="D12" s="93" t="s">
        <v>84</v>
      </c>
      <c r="E12" s="94">
        <f>C7*C12</f>
        <v>10449.82696</v>
      </c>
      <c r="F12" s="95" t="s">
        <v>41</v>
      </c>
      <c r="G12" s="96">
        <f>E13/E12</f>
        <v>15.131607929515416</v>
      </c>
      <c r="H12" s="97"/>
    </row>
    <row r="13" spans="1:8">
      <c r="A13" s="838"/>
      <c r="B13" s="16" t="s">
        <v>466</v>
      </c>
      <c r="C13" s="92">
        <v>2.7479</v>
      </c>
      <c r="D13" s="93" t="s">
        <v>91</v>
      </c>
      <c r="E13" s="98">
        <f>C7*C13</f>
        <v>158122.68448999999</v>
      </c>
      <c r="F13" s="95" t="s">
        <v>209</v>
      </c>
      <c r="G13" s="28">
        <f>E13*76%</f>
        <v>120173.24021239999</v>
      </c>
      <c r="H13" s="99"/>
    </row>
    <row r="14" spans="1:8">
      <c r="A14" s="838"/>
      <c r="B14" s="16" t="s">
        <v>208</v>
      </c>
      <c r="C14" s="100" t="s">
        <v>493</v>
      </c>
      <c r="D14" s="88"/>
      <c r="E14" s="83"/>
      <c r="F14" s="840" t="s">
        <v>234</v>
      </c>
      <c r="G14" s="841"/>
      <c r="H14" s="55">
        <f>G13/C46</f>
        <v>1.2326345503000216</v>
      </c>
    </row>
    <row r="15" spans="1:8" ht="15" customHeight="1">
      <c r="A15" s="838"/>
      <c r="B15" s="16" t="s">
        <v>441</v>
      </c>
      <c r="C15" s="101" t="s">
        <v>494</v>
      </c>
      <c r="D15" s="102"/>
      <c r="E15" s="103"/>
      <c r="F15" s="848" t="s">
        <v>392</v>
      </c>
      <c r="G15" s="849"/>
      <c r="H15" s="850"/>
    </row>
    <row r="16" spans="1:8" ht="16.5" thickBot="1">
      <c r="A16" s="838"/>
      <c r="B16" s="32" t="s">
        <v>529</v>
      </c>
      <c r="C16" s="100">
        <v>1.1218999999999999</v>
      </c>
      <c r="D16" s="235"/>
      <c r="E16" s="83"/>
      <c r="F16" s="83"/>
      <c r="G16" s="83"/>
      <c r="H16" s="84"/>
    </row>
    <row r="17" spans="1:8" ht="15" customHeight="1" thickBot="1">
      <c r="A17" s="821"/>
      <c r="B17" s="844" t="s">
        <v>470</v>
      </c>
      <c r="C17" s="1022" t="s">
        <v>509</v>
      </c>
      <c r="D17" s="105" t="s">
        <v>530</v>
      </c>
      <c r="E17" s="106"/>
      <c r="F17" s="106"/>
      <c r="G17" s="106"/>
      <c r="H17" s="107"/>
    </row>
    <row r="18" spans="1:8" ht="18" customHeight="1" thickBot="1">
      <c r="A18" s="839"/>
      <c r="B18" s="844"/>
      <c r="C18" s="1023"/>
      <c r="D18" s="365" t="s">
        <v>531</v>
      </c>
      <c r="E18" s="110"/>
      <c r="F18" s="110"/>
      <c r="G18" s="110"/>
      <c r="H18" s="111"/>
    </row>
    <row r="19" spans="1:8" ht="5.25" customHeight="1" thickBot="1">
      <c r="A19" s="112"/>
      <c r="B19" s="40"/>
      <c r="C19" s="113"/>
      <c r="D19" s="113"/>
      <c r="H19" s="114"/>
    </row>
    <row r="20" spans="1:8">
      <c r="A20" s="821" t="s">
        <v>49</v>
      </c>
      <c r="B20" s="43" t="s">
        <v>174</v>
      </c>
      <c r="C20" s="115" t="s">
        <v>486</v>
      </c>
      <c r="D20" s="116"/>
      <c r="E20" s="117"/>
      <c r="F20" s="117"/>
      <c r="G20" s="117"/>
      <c r="H20" s="118"/>
    </row>
    <row r="21" spans="1:8" ht="16.5" thickBot="1">
      <c r="A21" s="822"/>
      <c r="B21" s="25" t="s">
        <v>65</v>
      </c>
      <c r="C21" s="119" t="s">
        <v>487</v>
      </c>
      <c r="D21" s="120"/>
      <c r="E21" s="83"/>
      <c r="F21" s="83"/>
      <c r="G21" s="83"/>
      <c r="H21" s="84"/>
    </row>
    <row r="22" spans="1:8">
      <c r="A22" s="821"/>
      <c r="B22" s="25" t="s">
        <v>95</v>
      </c>
      <c r="C22" s="93" t="s">
        <v>488</v>
      </c>
      <c r="D22" s="120"/>
      <c r="E22" s="83"/>
      <c r="F22" s="83"/>
      <c r="G22" s="83"/>
      <c r="H22" s="84"/>
    </row>
    <row r="23" spans="1:8" ht="16.5" thickBot="1">
      <c r="A23" s="822"/>
      <c r="B23" s="25" t="s">
        <v>59</v>
      </c>
      <c r="C23" s="93" t="s">
        <v>489</v>
      </c>
      <c r="D23" s="120"/>
      <c r="E23" s="83"/>
      <c r="F23" s="83"/>
      <c r="G23" s="83"/>
      <c r="H23" s="84"/>
    </row>
    <row r="24" spans="1:8">
      <c r="A24" s="821"/>
      <c r="B24" s="25" t="s">
        <v>452</v>
      </c>
      <c r="C24" s="93" t="s">
        <v>491</v>
      </c>
      <c r="D24" s="120"/>
      <c r="E24" s="83"/>
      <c r="F24" s="83"/>
      <c r="G24" s="83"/>
      <c r="H24" s="84"/>
    </row>
    <row r="25" spans="1:8">
      <c r="A25" s="822"/>
      <c r="B25" s="25" t="s">
        <v>445</v>
      </c>
      <c r="C25" s="93" t="s">
        <v>490</v>
      </c>
      <c r="D25" s="91"/>
      <c r="E25" s="83"/>
      <c r="F25" s="83"/>
      <c r="G25" s="83"/>
      <c r="H25" s="84"/>
    </row>
    <row r="26" spans="1:8">
      <c r="A26" s="822"/>
      <c r="B26" s="25" t="s">
        <v>167</v>
      </c>
      <c r="C26" s="93" t="s">
        <v>492</v>
      </c>
      <c r="D26" s="91"/>
      <c r="E26" s="83"/>
      <c r="F26" s="83"/>
      <c r="G26" s="83"/>
      <c r="H26" s="84"/>
    </row>
    <row r="27" spans="1:8">
      <c r="A27" s="822"/>
      <c r="B27" s="25" t="s">
        <v>447</v>
      </c>
      <c r="C27" s="93" t="s">
        <v>259</v>
      </c>
      <c r="D27" s="91"/>
      <c r="E27" s="83"/>
      <c r="F27" s="83"/>
      <c r="G27" s="83"/>
      <c r="H27" s="84"/>
    </row>
    <row r="28" spans="1:8" ht="16.5" thickBot="1">
      <c r="A28" s="823"/>
      <c r="B28" s="230"/>
      <c r="C28" s="234"/>
      <c r="D28" s="123"/>
      <c r="E28" s="110"/>
      <c r="F28" s="110"/>
      <c r="G28" s="110"/>
      <c r="H28" s="111"/>
    </row>
    <row r="29" spans="1:8" ht="5.25" customHeight="1" thickBot="1">
      <c r="A29" s="112"/>
      <c r="B29" s="40"/>
      <c r="C29" s="3"/>
      <c r="H29" s="114"/>
    </row>
    <row r="30" spans="1:8" s="80" customFormat="1" ht="13.5" customHeight="1">
      <c r="A30" s="821" t="s">
        <v>160</v>
      </c>
      <c r="B30" s="345" t="s">
        <v>101</v>
      </c>
      <c r="C30" s="346" t="s">
        <v>48</v>
      </c>
      <c r="D30" s="347" t="s">
        <v>125</v>
      </c>
      <c r="E30" s="347" t="s">
        <v>434</v>
      </c>
      <c r="F30" s="347" t="s">
        <v>414</v>
      </c>
      <c r="G30" s="348" t="s">
        <v>465</v>
      </c>
      <c r="H30" s="349" t="s">
        <v>454</v>
      </c>
    </row>
    <row r="31" spans="1:8">
      <c r="A31" s="829"/>
      <c r="B31" s="129" t="s">
        <v>503</v>
      </c>
      <c r="C31" s="130">
        <f>39*D31</f>
        <v>2808</v>
      </c>
      <c r="D31" s="87">
        <v>72</v>
      </c>
      <c r="E31" s="87"/>
      <c r="F31" s="87"/>
      <c r="G31" s="223"/>
      <c r="H31" s="238">
        <f t="shared" ref="H31:H45" si="0">D31/$D$46</f>
        <v>5.5003819709702063E-2</v>
      </c>
    </row>
    <row r="32" spans="1:8" ht="16.5" thickBot="1">
      <c r="A32" s="822"/>
      <c r="B32" s="129" t="s">
        <v>131</v>
      </c>
      <c r="C32" s="130">
        <f>59*D32</f>
        <v>22892</v>
      </c>
      <c r="D32" s="87">
        <f>E32+F32</f>
        <v>388</v>
      </c>
      <c r="E32" s="87">
        <v>220</v>
      </c>
      <c r="F32" s="87">
        <v>168</v>
      </c>
      <c r="G32" s="223"/>
      <c r="H32" s="238">
        <f t="shared" si="0"/>
        <v>0.29640947288006114</v>
      </c>
    </row>
    <row r="33" spans="1:8">
      <c r="A33" s="821"/>
      <c r="B33" s="129" t="s">
        <v>183</v>
      </c>
      <c r="C33" s="130">
        <f>59*D33</f>
        <v>7434</v>
      </c>
      <c r="D33" s="87">
        <f t="shared" ref="D33:D45" si="1">E33+F33</f>
        <v>126</v>
      </c>
      <c r="E33" s="87">
        <v>126</v>
      </c>
      <c r="F33" s="87"/>
      <c r="G33" s="223">
        <v>2</v>
      </c>
      <c r="H33" s="238">
        <f t="shared" si="0"/>
        <v>9.6256684491978606E-2</v>
      </c>
    </row>
    <row r="34" spans="1:8">
      <c r="A34" s="829"/>
      <c r="B34" s="129" t="s">
        <v>496</v>
      </c>
      <c r="C34" s="130">
        <f>59*D34</f>
        <v>767</v>
      </c>
      <c r="D34" s="87">
        <f t="shared" si="1"/>
        <v>13</v>
      </c>
      <c r="E34" s="87">
        <v>13</v>
      </c>
      <c r="F34" s="87"/>
      <c r="G34" s="223">
        <v>2</v>
      </c>
      <c r="H34" s="238">
        <f t="shared" si="0"/>
        <v>9.9312452253628725E-3</v>
      </c>
    </row>
    <row r="35" spans="1:8" ht="16.5" thickBot="1">
      <c r="A35" s="829"/>
      <c r="B35" s="129" t="s">
        <v>497</v>
      </c>
      <c r="C35" s="130">
        <f>74*D35</f>
        <v>4440</v>
      </c>
      <c r="D35" s="87">
        <f t="shared" si="1"/>
        <v>60</v>
      </c>
      <c r="E35" s="87">
        <v>44</v>
      </c>
      <c r="F35" s="133">
        <v>16</v>
      </c>
      <c r="G35" s="223">
        <v>3</v>
      </c>
      <c r="H35" s="238">
        <f t="shared" si="0"/>
        <v>4.5836516424751721E-2</v>
      </c>
    </row>
    <row r="36" spans="1:8">
      <c r="A36" s="821"/>
      <c r="B36" s="129" t="s">
        <v>498</v>
      </c>
      <c r="C36" s="130">
        <f>74*D36</f>
        <v>2220</v>
      </c>
      <c r="D36" s="87">
        <f t="shared" si="1"/>
        <v>30</v>
      </c>
      <c r="E36" s="87">
        <v>27</v>
      </c>
      <c r="F36" s="133">
        <v>3</v>
      </c>
      <c r="G36" s="223"/>
      <c r="H36" s="238">
        <f t="shared" si="0"/>
        <v>2.291825821237586E-2</v>
      </c>
    </row>
    <row r="37" spans="1:8">
      <c r="A37" s="829"/>
      <c r="B37" s="129" t="s">
        <v>199</v>
      </c>
      <c r="C37" s="130">
        <f>84*D37</f>
        <v>5544</v>
      </c>
      <c r="D37" s="87">
        <f t="shared" si="1"/>
        <v>66</v>
      </c>
      <c r="E37" s="87">
        <v>16</v>
      </c>
      <c r="F37" s="133">
        <v>50</v>
      </c>
      <c r="G37" s="223"/>
      <c r="H37" s="238">
        <f t="shared" si="0"/>
        <v>5.0420168067226892E-2</v>
      </c>
    </row>
    <row r="38" spans="1:8">
      <c r="A38" s="829"/>
      <c r="B38" s="129" t="s">
        <v>206</v>
      </c>
      <c r="C38" s="130">
        <f>84*D38</f>
        <v>21252</v>
      </c>
      <c r="D38" s="87">
        <f t="shared" si="1"/>
        <v>253</v>
      </c>
      <c r="E38" s="87">
        <v>169</v>
      </c>
      <c r="F38" s="133">
        <v>84</v>
      </c>
      <c r="G38" s="223">
        <v>3</v>
      </c>
      <c r="H38" s="238">
        <f t="shared" si="0"/>
        <v>0.19327731092436976</v>
      </c>
    </row>
    <row r="39" spans="1:8">
      <c r="A39" s="829"/>
      <c r="B39" s="129" t="s">
        <v>188</v>
      </c>
      <c r="C39" s="130">
        <f>84*D39</f>
        <v>20916</v>
      </c>
      <c r="D39" s="87">
        <f>E39+F39</f>
        <v>249</v>
      </c>
      <c r="E39" s="87">
        <v>186</v>
      </c>
      <c r="F39" s="133">
        <v>63</v>
      </c>
      <c r="G39" s="223"/>
      <c r="H39" s="238">
        <f t="shared" si="0"/>
        <v>0.19022154316271964</v>
      </c>
    </row>
    <row r="40" spans="1:8">
      <c r="A40" s="829"/>
      <c r="B40" s="129" t="s">
        <v>532</v>
      </c>
      <c r="C40" s="130">
        <f>84*D40</f>
        <v>1932</v>
      </c>
      <c r="D40" s="87">
        <f>E40+F40</f>
        <v>23</v>
      </c>
      <c r="E40" s="87">
        <v>6</v>
      </c>
      <c r="F40" s="133">
        <v>17</v>
      </c>
      <c r="G40" s="223"/>
      <c r="H40" s="238">
        <f t="shared" si="0"/>
        <v>1.7570664629488159E-2</v>
      </c>
    </row>
    <row r="41" spans="1:8">
      <c r="A41" s="829"/>
      <c r="B41" s="129" t="s">
        <v>533</v>
      </c>
      <c r="C41" s="130">
        <f>84*D41</f>
        <v>1428</v>
      </c>
      <c r="D41" s="87">
        <f t="shared" si="1"/>
        <v>17</v>
      </c>
      <c r="E41" s="87">
        <v>7</v>
      </c>
      <c r="F41" s="133">
        <v>10</v>
      </c>
      <c r="G41" s="223"/>
      <c r="H41" s="238">
        <f t="shared" si="0"/>
        <v>1.2987012987012988E-2</v>
      </c>
    </row>
    <row r="42" spans="1:8">
      <c r="A42" s="829"/>
      <c r="B42" s="129" t="s">
        <v>499</v>
      </c>
      <c r="C42" s="130">
        <f>99*D42</f>
        <v>1089</v>
      </c>
      <c r="D42" s="87">
        <f t="shared" si="1"/>
        <v>11</v>
      </c>
      <c r="E42" s="87">
        <v>11</v>
      </c>
      <c r="F42" s="133"/>
      <c r="G42" s="223"/>
      <c r="H42" s="238">
        <f t="shared" si="0"/>
        <v>8.4033613445378148E-3</v>
      </c>
    </row>
    <row r="43" spans="1:8">
      <c r="A43" s="829"/>
      <c r="B43" s="129" t="s">
        <v>500</v>
      </c>
      <c r="C43" s="130">
        <f>99*D43</f>
        <v>2871</v>
      </c>
      <c r="D43" s="87">
        <f t="shared" si="1"/>
        <v>29</v>
      </c>
      <c r="E43" s="87">
        <v>9</v>
      </c>
      <c r="F43" s="133">
        <v>20</v>
      </c>
      <c r="G43" s="223"/>
      <c r="H43" s="238">
        <f t="shared" si="0"/>
        <v>2.2154316271963331E-2</v>
      </c>
    </row>
    <row r="44" spans="1:8">
      <c r="A44" s="829"/>
      <c r="B44" s="129" t="s">
        <v>501</v>
      </c>
      <c r="C44" s="130">
        <f>107*D44</f>
        <v>3103</v>
      </c>
      <c r="D44" s="87">
        <f t="shared" si="1"/>
        <v>29</v>
      </c>
      <c r="E44" s="87">
        <v>13</v>
      </c>
      <c r="F44" s="133">
        <v>16</v>
      </c>
      <c r="G44" s="223"/>
      <c r="H44" s="238">
        <f t="shared" si="0"/>
        <v>2.2154316271963331E-2</v>
      </c>
    </row>
    <row r="45" spans="1:8">
      <c r="A45" s="829"/>
      <c r="B45" s="129" t="s">
        <v>502</v>
      </c>
      <c r="C45" s="130">
        <f>107*D45</f>
        <v>1605</v>
      </c>
      <c r="D45" s="87">
        <f t="shared" si="1"/>
        <v>15</v>
      </c>
      <c r="E45" s="87">
        <v>9</v>
      </c>
      <c r="F45" s="133">
        <v>6</v>
      </c>
      <c r="G45" s="223"/>
      <c r="H45" s="238">
        <f t="shared" si="0"/>
        <v>1.145912910618793E-2</v>
      </c>
    </row>
    <row r="46" spans="1:8" ht="16.5" thickBot="1">
      <c r="A46" s="823"/>
      <c r="B46" s="129" t="s">
        <v>462</v>
      </c>
      <c r="C46" s="57">
        <f t="shared" ref="C46:H46" si="2">SUM(C32:C45)</f>
        <v>97493</v>
      </c>
      <c r="D46" s="57">
        <f t="shared" si="2"/>
        <v>1309</v>
      </c>
      <c r="E46" s="57">
        <f t="shared" si="2"/>
        <v>856</v>
      </c>
      <c r="F46" s="57">
        <f t="shared" si="2"/>
        <v>453</v>
      </c>
      <c r="G46" s="57">
        <f t="shared" si="2"/>
        <v>10</v>
      </c>
      <c r="H46" s="239">
        <f t="shared" si="2"/>
        <v>1</v>
      </c>
    </row>
    <row r="47" spans="1:8" ht="6" customHeight="1" thickBot="1">
      <c r="A47" s="112"/>
      <c r="B47" s="40"/>
      <c r="C47" s="3"/>
      <c r="H47" s="114"/>
    </row>
    <row r="48" spans="1:8" s="77" customFormat="1" ht="15.5" customHeight="1" thickBot="1">
      <c r="A48" s="1058" t="s">
        <v>1</v>
      </c>
      <c r="B48" s="345" t="s">
        <v>451</v>
      </c>
      <c r="C48" s="347" t="s">
        <v>901</v>
      </c>
      <c r="D48" s="347" t="s">
        <v>902</v>
      </c>
      <c r="E48" s="347" t="s">
        <v>43</v>
      </c>
      <c r="F48" s="347" t="s">
        <v>903</v>
      </c>
      <c r="G48" s="350" t="s">
        <v>172</v>
      </c>
      <c r="H48" s="351" t="s">
        <v>510</v>
      </c>
    </row>
    <row r="49" spans="1:8" ht="16.5" customHeight="1" thickBot="1">
      <c r="A49" s="1058"/>
      <c r="B49" s="129" t="s">
        <v>503</v>
      </c>
      <c r="C49" s="138" t="s">
        <v>436</v>
      </c>
      <c r="D49" s="138" t="s">
        <v>436</v>
      </c>
      <c r="E49" s="362" t="e">
        <f>(D49-C49)*17</f>
        <v>#VALUE!</v>
      </c>
      <c r="F49" s="138" t="s">
        <v>436</v>
      </c>
      <c r="G49" s="362" t="e">
        <f>(F49-C49)*17</f>
        <v>#VALUE!</v>
      </c>
      <c r="H49" s="140" t="s">
        <v>449</v>
      </c>
    </row>
    <row r="50" spans="1:8" ht="58.5" thickBot="1">
      <c r="A50" s="1058"/>
      <c r="B50" s="129" t="s">
        <v>131</v>
      </c>
      <c r="C50" s="138">
        <f>246307000/25</f>
        <v>9852280</v>
      </c>
      <c r="D50" s="138">
        <v>13500000</v>
      </c>
      <c r="E50" s="362">
        <f>(D50-C50)*25</f>
        <v>91193000</v>
      </c>
      <c r="F50" s="138">
        <v>15000000</v>
      </c>
      <c r="G50" s="362">
        <f>(F50-C50)*25</f>
        <v>128693000</v>
      </c>
      <c r="H50" s="364" t="s">
        <v>534</v>
      </c>
    </row>
    <row r="51" spans="1:8" ht="16.5" customHeight="1" thickBot="1">
      <c r="A51" s="1058"/>
      <c r="B51" s="129" t="s">
        <v>183</v>
      </c>
      <c r="C51" s="138"/>
      <c r="D51" s="138"/>
      <c r="E51" s="362">
        <f>(D51-C51)*25</f>
        <v>0</v>
      </c>
      <c r="F51" s="138"/>
      <c r="G51" s="362">
        <f>(F51-C51)*25</f>
        <v>0</v>
      </c>
      <c r="H51" s="140"/>
    </row>
    <row r="52" spans="1:8" ht="16.5" customHeight="1" thickBot="1">
      <c r="A52" s="1058"/>
      <c r="B52" s="129" t="s">
        <v>496</v>
      </c>
      <c r="C52" s="138"/>
      <c r="D52" s="138"/>
      <c r="E52" s="362">
        <f>(D52-C52)*25</f>
        <v>0</v>
      </c>
      <c r="F52" s="138"/>
      <c r="G52" s="362">
        <f>(F52-C52)*25</f>
        <v>0</v>
      </c>
      <c r="H52" s="140"/>
    </row>
    <row r="53" spans="1:8" ht="16.5" customHeight="1" thickBot="1">
      <c r="A53" s="1058"/>
      <c r="B53" s="129" t="s">
        <v>497</v>
      </c>
      <c r="C53" s="138">
        <f>297939000/30</f>
        <v>9931300</v>
      </c>
      <c r="D53" s="138">
        <v>13500000</v>
      </c>
      <c r="E53" s="362">
        <f>(D53-C53)*30</f>
        <v>107061000</v>
      </c>
      <c r="F53" s="138">
        <v>14500000</v>
      </c>
      <c r="G53" s="362">
        <f>(F53-C53)*30</f>
        <v>137061000</v>
      </c>
      <c r="H53" s="140"/>
    </row>
    <row r="54" spans="1:8" ht="16.5" customHeight="1" thickBot="1">
      <c r="A54" s="1058"/>
      <c r="B54" s="129" t="s">
        <v>498</v>
      </c>
      <c r="C54" s="138">
        <f>297073000/30</f>
        <v>9902433.333333334</v>
      </c>
      <c r="D54" s="138">
        <v>13500000</v>
      </c>
      <c r="E54" s="362">
        <f>(D54-C54)*30</f>
        <v>107926999.99999999</v>
      </c>
      <c r="F54" s="138">
        <v>14500000</v>
      </c>
      <c r="G54" s="362">
        <f>(F54-C54)*30</f>
        <v>137926999.99999997</v>
      </c>
      <c r="H54" s="140"/>
    </row>
    <row r="55" spans="1:8" ht="16.5" customHeight="1" thickBot="1">
      <c r="A55" s="1058"/>
      <c r="B55" s="129" t="s">
        <v>199</v>
      </c>
      <c r="C55" s="138">
        <f>347278000/34</f>
        <v>10214058.823529411</v>
      </c>
      <c r="D55" s="138">
        <v>13500000</v>
      </c>
      <c r="E55" s="362">
        <f>(D55-C55)*34</f>
        <v>111722000.00000003</v>
      </c>
      <c r="F55" s="138">
        <v>14500000</v>
      </c>
      <c r="G55" s="362">
        <f>(F55-C55)*34</f>
        <v>145722000.00000003</v>
      </c>
      <c r="H55" s="140" t="s">
        <v>535</v>
      </c>
    </row>
    <row r="56" spans="1:8" ht="16.5" customHeight="1" thickBot="1">
      <c r="A56" s="1058"/>
      <c r="B56" s="129" t="s">
        <v>206</v>
      </c>
      <c r="C56" s="138">
        <f>347917000/34</f>
        <v>10232852.94117647</v>
      </c>
      <c r="D56" s="138">
        <v>13500000</v>
      </c>
      <c r="E56" s="362">
        <f>(D56-C56)*34</f>
        <v>111083000</v>
      </c>
      <c r="F56" s="138">
        <v>14500000</v>
      </c>
      <c r="G56" s="362">
        <f>(F56-C56)*34</f>
        <v>145083000</v>
      </c>
      <c r="H56" s="140" t="s">
        <v>508</v>
      </c>
    </row>
    <row r="57" spans="1:8" ht="16.5" customHeight="1" thickBot="1">
      <c r="A57" s="1058"/>
      <c r="B57" s="129" t="s">
        <v>188</v>
      </c>
      <c r="C57" s="138">
        <f>342095000/34</f>
        <v>10061617.647058824</v>
      </c>
      <c r="D57" s="138">
        <v>13500000</v>
      </c>
      <c r="E57" s="362">
        <f>(D57-C57)*34</f>
        <v>116904999.99999999</v>
      </c>
      <c r="F57" s="138">
        <v>14500000</v>
      </c>
      <c r="G57" s="362">
        <f>(F57-C57)*34</f>
        <v>150904999.99999997</v>
      </c>
      <c r="H57" s="140" t="s">
        <v>508</v>
      </c>
    </row>
    <row r="58" spans="1:8" ht="16.5" customHeight="1" thickBot="1">
      <c r="A58" s="1058"/>
      <c r="B58" s="129" t="s">
        <v>532</v>
      </c>
      <c r="C58" s="138">
        <f>339312000/34</f>
        <v>9979764.7058823537</v>
      </c>
      <c r="D58" s="138">
        <v>13500000</v>
      </c>
      <c r="E58" s="362">
        <f>(D58-C58)*34</f>
        <v>119687999.99999997</v>
      </c>
      <c r="F58" s="138">
        <v>14500000</v>
      </c>
      <c r="G58" s="362">
        <f>(F58-C58)*34</f>
        <v>153687999.99999997</v>
      </c>
      <c r="H58" s="140" t="s">
        <v>507</v>
      </c>
    </row>
    <row r="59" spans="1:8" ht="16.5" customHeight="1" thickBot="1">
      <c r="A59" s="1058"/>
      <c r="B59" s="129" t="s">
        <v>533</v>
      </c>
      <c r="C59" s="138">
        <f>332540000/34</f>
        <v>9780588.2352941185</v>
      </c>
      <c r="D59" s="138">
        <v>13500000</v>
      </c>
      <c r="E59" s="362">
        <f>(D59-C59)*34</f>
        <v>126459999.99999997</v>
      </c>
      <c r="F59" s="138">
        <v>14500000</v>
      </c>
      <c r="G59" s="362">
        <f>(F59-C59)*34</f>
        <v>160459999.99999997</v>
      </c>
      <c r="H59" s="140" t="s">
        <v>536</v>
      </c>
    </row>
    <row r="60" spans="1:8" ht="16.5" customHeight="1" thickBot="1">
      <c r="A60" s="1058"/>
      <c r="B60" s="129" t="s">
        <v>499</v>
      </c>
      <c r="C60" s="138"/>
      <c r="D60" s="138">
        <v>13500000</v>
      </c>
      <c r="E60" s="362">
        <f>(D60-C60)*40</f>
        <v>540000000</v>
      </c>
      <c r="F60" s="138">
        <v>14500000</v>
      </c>
      <c r="G60" s="362">
        <f>(F60-C60)*40</f>
        <v>580000000</v>
      </c>
      <c r="H60" s="140"/>
    </row>
    <row r="61" spans="1:8" ht="16.5" customHeight="1" thickBot="1">
      <c r="A61" s="1058"/>
      <c r="B61" s="129" t="s">
        <v>500</v>
      </c>
      <c r="C61" s="138">
        <f>389888000/40</f>
        <v>9747200</v>
      </c>
      <c r="D61" s="138">
        <v>13500000</v>
      </c>
      <c r="E61" s="362">
        <f>(D61-C61)*40</f>
        <v>150112000</v>
      </c>
      <c r="F61" s="138">
        <v>14500000</v>
      </c>
      <c r="G61" s="362">
        <f>(F61-C61)*40</f>
        <v>190112000</v>
      </c>
      <c r="H61" s="140" t="s">
        <v>537</v>
      </c>
    </row>
    <row r="62" spans="1:8" ht="16.5" customHeight="1" thickBot="1">
      <c r="A62" s="1058"/>
      <c r="B62" s="129" t="s">
        <v>501</v>
      </c>
      <c r="C62" s="138">
        <f>420138000/43</f>
        <v>9770651.1627906971</v>
      </c>
      <c r="D62" s="138">
        <v>13500000</v>
      </c>
      <c r="E62" s="362">
        <f>(D62-C62)*43</f>
        <v>160362000.00000003</v>
      </c>
      <c r="F62" s="138">
        <v>14500000</v>
      </c>
      <c r="G62" s="362">
        <f>(F62-C62)*43</f>
        <v>203362000.00000003</v>
      </c>
      <c r="H62" s="140" t="s">
        <v>538</v>
      </c>
    </row>
    <row r="63" spans="1:8" ht="16.5" customHeight="1" thickBot="1">
      <c r="A63" s="1058"/>
      <c r="B63" s="129" t="s">
        <v>502</v>
      </c>
      <c r="C63" s="138">
        <f>413875000/43</f>
        <v>9625000</v>
      </c>
      <c r="D63" s="138">
        <v>13500000</v>
      </c>
      <c r="E63" s="362">
        <f>(D63-C63)*43</f>
        <v>166625000</v>
      </c>
      <c r="F63" s="138">
        <v>14500000</v>
      </c>
      <c r="G63" s="362">
        <f>(F63-C63)*43</f>
        <v>209625000</v>
      </c>
      <c r="H63" s="140" t="s">
        <v>538</v>
      </c>
    </row>
    <row r="64" spans="1:8" ht="5.25" customHeight="1" thickBot="1">
      <c r="A64" s="142"/>
      <c r="B64" s="143"/>
      <c r="C64" s="144"/>
      <c r="D64" s="144"/>
      <c r="E64" s="145"/>
      <c r="F64" s="144"/>
      <c r="G64" s="145"/>
      <c r="H64" s="146"/>
    </row>
    <row r="65" spans="1:8" ht="60.15" customHeight="1">
      <c r="A65" s="818" t="s">
        <v>286</v>
      </c>
      <c r="B65" s="347" t="s">
        <v>101</v>
      </c>
      <c r="C65" s="508" t="s">
        <v>1393</v>
      </c>
      <c r="D65" s="352" t="s">
        <v>247</v>
      </c>
      <c r="E65" s="353" t="s">
        <v>322</v>
      </c>
      <c r="F65" s="352" t="s">
        <v>222</v>
      </c>
      <c r="G65" s="353" t="s">
        <v>367</v>
      </c>
      <c r="H65" s="351" t="s">
        <v>470</v>
      </c>
    </row>
    <row r="66" spans="1:8">
      <c r="A66" s="819"/>
      <c r="B66" s="129" t="s">
        <v>503</v>
      </c>
      <c r="C66" s="148" t="s">
        <v>436</v>
      </c>
      <c r="D66" s="139" t="e">
        <f t="shared" ref="D66:D73" si="3">E49</f>
        <v>#VALUE!</v>
      </c>
      <c r="E66" s="362" t="e">
        <f t="shared" ref="E66:E80" si="4">D66-C66</f>
        <v>#VALUE!</v>
      </c>
      <c r="F66" s="139" t="e">
        <f t="shared" ref="F66:F80" si="5">G49</f>
        <v>#VALUE!</v>
      </c>
      <c r="G66" s="362" t="e">
        <f>F66-C66</f>
        <v>#VALUE!</v>
      </c>
      <c r="H66" s="140" t="s">
        <v>449</v>
      </c>
    </row>
    <row r="67" spans="1:8">
      <c r="A67" s="819"/>
      <c r="B67" s="129" t="s">
        <v>131</v>
      </c>
      <c r="C67" s="148">
        <v>110000000</v>
      </c>
      <c r="D67" s="139">
        <f t="shared" si="3"/>
        <v>91193000</v>
      </c>
      <c r="E67" s="362">
        <f t="shared" si="4"/>
        <v>-18807000</v>
      </c>
      <c r="F67" s="139">
        <f t="shared" si="5"/>
        <v>128693000</v>
      </c>
      <c r="G67" s="362">
        <f>F67-C67</f>
        <v>18693000</v>
      </c>
      <c r="H67" s="140"/>
    </row>
    <row r="68" spans="1:8">
      <c r="A68" s="819"/>
      <c r="B68" s="129" t="s">
        <v>183</v>
      </c>
      <c r="C68" s="148"/>
      <c r="D68" s="139">
        <f t="shared" si="3"/>
        <v>0</v>
      </c>
      <c r="E68" s="362">
        <f t="shared" si="4"/>
        <v>0</v>
      </c>
      <c r="F68" s="139">
        <f t="shared" si="5"/>
        <v>0</v>
      </c>
      <c r="G68" s="362">
        <f t="shared" ref="G68:G80" si="6">F68-C68</f>
        <v>0</v>
      </c>
      <c r="H68" s="140"/>
    </row>
    <row r="69" spans="1:8">
      <c r="A69" s="819"/>
      <c r="B69" s="129" t="s">
        <v>496</v>
      </c>
      <c r="C69" s="148"/>
      <c r="D69" s="139">
        <f t="shared" si="3"/>
        <v>0</v>
      </c>
      <c r="E69" s="362">
        <f t="shared" si="4"/>
        <v>0</v>
      </c>
      <c r="F69" s="139">
        <f t="shared" si="5"/>
        <v>0</v>
      </c>
      <c r="G69" s="362">
        <f t="shared" si="6"/>
        <v>0</v>
      </c>
      <c r="H69" s="140"/>
    </row>
    <row r="70" spans="1:8">
      <c r="A70" s="819"/>
      <c r="B70" s="129" t="s">
        <v>497</v>
      </c>
      <c r="C70" s="148">
        <v>120000000</v>
      </c>
      <c r="D70" s="139">
        <f t="shared" si="3"/>
        <v>107061000</v>
      </c>
      <c r="E70" s="362">
        <f t="shared" si="4"/>
        <v>-12939000</v>
      </c>
      <c r="F70" s="139">
        <f t="shared" si="5"/>
        <v>137061000</v>
      </c>
      <c r="G70" s="362">
        <f t="shared" si="6"/>
        <v>17061000</v>
      </c>
      <c r="H70" s="140"/>
    </row>
    <row r="71" spans="1:8">
      <c r="A71" s="819"/>
      <c r="B71" s="129" t="s">
        <v>498</v>
      </c>
      <c r="C71" s="148"/>
      <c r="D71" s="139">
        <f t="shared" si="3"/>
        <v>107926999.99999999</v>
      </c>
      <c r="E71" s="362">
        <f t="shared" si="4"/>
        <v>107926999.99999999</v>
      </c>
      <c r="F71" s="139">
        <f t="shared" si="5"/>
        <v>137926999.99999997</v>
      </c>
      <c r="G71" s="362">
        <f t="shared" si="6"/>
        <v>137926999.99999997</v>
      </c>
      <c r="H71" s="221"/>
    </row>
    <row r="72" spans="1:8">
      <c r="A72" s="819"/>
      <c r="B72" s="129" t="s">
        <v>199</v>
      </c>
      <c r="C72" s="148">
        <v>140000000</v>
      </c>
      <c r="D72" s="139">
        <f t="shared" si="3"/>
        <v>111722000.00000003</v>
      </c>
      <c r="E72" s="362">
        <f t="shared" si="4"/>
        <v>-28277999.99999997</v>
      </c>
      <c r="F72" s="139">
        <f t="shared" si="5"/>
        <v>145722000.00000003</v>
      </c>
      <c r="G72" s="362">
        <f t="shared" si="6"/>
        <v>5722000.0000000298</v>
      </c>
      <c r="H72" s="140"/>
    </row>
    <row r="73" spans="1:8">
      <c r="A73" s="819"/>
      <c r="B73" s="129" t="s">
        <v>206</v>
      </c>
      <c r="C73" s="148">
        <v>140000000</v>
      </c>
      <c r="D73" s="139">
        <f t="shared" si="3"/>
        <v>111083000</v>
      </c>
      <c r="E73" s="362">
        <f t="shared" si="4"/>
        <v>-28917000</v>
      </c>
      <c r="F73" s="139">
        <f t="shared" si="5"/>
        <v>145083000</v>
      </c>
      <c r="G73" s="362">
        <f t="shared" si="6"/>
        <v>5083000</v>
      </c>
      <c r="H73" s="140"/>
    </row>
    <row r="74" spans="1:8">
      <c r="A74" s="819"/>
      <c r="B74" s="129" t="s">
        <v>188</v>
      </c>
      <c r="C74" s="148"/>
      <c r="D74" s="139">
        <f t="shared" ref="D74:D80" si="7">E57</f>
        <v>116904999.99999999</v>
      </c>
      <c r="E74" s="362">
        <f>D74-C74</f>
        <v>116904999.99999999</v>
      </c>
      <c r="F74" s="139">
        <f t="shared" si="5"/>
        <v>150904999.99999997</v>
      </c>
      <c r="G74" s="362">
        <f>F74-C74</f>
        <v>150904999.99999997</v>
      </c>
      <c r="H74" s="140"/>
    </row>
    <row r="75" spans="1:8">
      <c r="A75" s="819"/>
      <c r="B75" s="129" t="s">
        <v>532</v>
      </c>
      <c r="C75" s="148"/>
      <c r="D75" s="139">
        <f t="shared" si="7"/>
        <v>119687999.99999997</v>
      </c>
      <c r="E75" s="362">
        <f>D75-C75</f>
        <v>119687999.99999997</v>
      </c>
      <c r="F75" s="139">
        <f t="shared" si="5"/>
        <v>153687999.99999997</v>
      </c>
      <c r="G75" s="362">
        <f>F75-C75</f>
        <v>153687999.99999997</v>
      </c>
      <c r="H75" s="140"/>
    </row>
    <row r="76" spans="1:8">
      <c r="A76" s="819"/>
      <c r="B76" s="129" t="s">
        <v>533</v>
      </c>
      <c r="C76" s="148"/>
      <c r="D76" s="139">
        <f t="shared" si="7"/>
        <v>126459999.99999997</v>
      </c>
      <c r="E76" s="362">
        <f t="shared" si="4"/>
        <v>126459999.99999997</v>
      </c>
      <c r="F76" s="139">
        <f t="shared" si="5"/>
        <v>160459999.99999997</v>
      </c>
      <c r="G76" s="362">
        <f t="shared" si="6"/>
        <v>160459999.99999997</v>
      </c>
      <c r="H76" s="140"/>
    </row>
    <row r="77" spans="1:8">
      <c r="A77" s="819"/>
      <c r="B77" s="129" t="s">
        <v>499</v>
      </c>
      <c r="C77" s="148"/>
      <c r="D77" s="139">
        <f t="shared" si="7"/>
        <v>540000000</v>
      </c>
      <c r="E77" s="362">
        <f t="shared" si="4"/>
        <v>540000000</v>
      </c>
      <c r="F77" s="139">
        <f t="shared" si="5"/>
        <v>580000000</v>
      </c>
      <c r="G77" s="362">
        <f t="shared" si="6"/>
        <v>580000000</v>
      </c>
      <c r="H77" s="140"/>
    </row>
    <row r="78" spans="1:8">
      <c r="A78" s="819"/>
      <c r="B78" s="129" t="s">
        <v>500</v>
      </c>
      <c r="C78" s="148"/>
      <c r="D78" s="139">
        <f t="shared" si="7"/>
        <v>150112000</v>
      </c>
      <c r="E78" s="362">
        <f t="shared" si="4"/>
        <v>150112000</v>
      </c>
      <c r="F78" s="139">
        <f t="shared" si="5"/>
        <v>190112000</v>
      </c>
      <c r="G78" s="362">
        <f t="shared" si="6"/>
        <v>190112000</v>
      </c>
      <c r="H78" s="140"/>
    </row>
    <row r="79" spans="1:8">
      <c r="A79" s="819"/>
      <c r="B79" s="129" t="s">
        <v>501</v>
      </c>
      <c r="C79" s="148">
        <v>215000000</v>
      </c>
      <c r="D79" s="139">
        <f t="shared" si="7"/>
        <v>160362000.00000003</v>
      </c>
      <c r="E79" s="362">
        <f t="shared" si="4"/>
        <v>-54637999.99999997</v>
      </c>
      <c r="F79" s="139">
        <f t="shared" si="5"/>
        <v>203362000.00000003</v>
      </c>
      <c r="G79" s="362">
        <f t="shared" si="6"/>
        <v>-11637999.99999997</v>
      </c>
      <c r="H79" s="140"/>
    </row>
    <row r="80" spans="1:8" ht="16.5" thickBot="1">
      <c r="A80" s="820"/>
      <c r="B80" s="164" t="s">
        <v>502</v>
      </c>
      <c r="C80" s="240"/>
      <c r="D80" s="179">
        <f t="shared" si="7"/>
        <v>166625000</v>
      </c>
      <c r="E80" s="363">
        <f t="shared" si="4"/>
        <v>166625000</v>
      </c>
      <c r="F80" s="179">
        <f t="shared" si="5"/>
        <v>209625000</v>
      </c>
      <c r="G80" s="363">
        <f t="shared" si="6"/>
        <v>209625000</v>
      </c>
      <c r="H80" s="180"/>
    </row>
    <row r="84" spans="3:4">
      <c r="C84" s="78" t="s">
        <v>539</v>
      </c>
      <c r="D84" s="79">
        <v>297939000</v>
      </c>
    </row>
    <row r="85" spans="3:4">
      <c r="C85" s="78" t="s">
        <v>540</v>
      </c>
      <c r="D85" s="79">
        <f>180600000*112.19%</f>
        <v>202615139.99999997</v>
      </c>
    </row>
    <row r="86" spans="3:4">
      <c r="C86" s="78" t="s">
        <v>541</v>
      </c>
      <c r="D86" s="79">
        <f>D84-D85</f>
        <v>95323860.00000003</v>
      </c>
    </row>
  </sheetData>
  <mergeCells count="17">
    <mergeCell ref="A1:H1"/>
    <mergeCell ref="A2:A18"/>
    <mergeCell ref="C2:H2"/>
    <mergeCell ref="C3:H3"/>
    <mergeCell ref="C5:D5"/>
    <mergeCell ref="C6:D6"/>
    <mergeCell ref="D7:E7"/>
    <mergeCell ref="G7:H7"/>
    <mergeCell ref="F10:H10"/>
    <mergeCell ref="F14:G14"/>
    <mergeCell ref="F15:H15"/>
    <mergeCell ref="B17:B18"/>
    <mergeCell ref="A20:A28"/>
    <mergeCell ref="A30:A46"/>
    <mergeCell ref="A48:A63"/>
    <mergeCell ref="C17:C18"/>
    <mergeCell ref="A65:A80"/>
  </mergeCells>
  <phoneticPr fontId="16" type="noConversion"/>
  <pageMargins left="0.69972223043441772" right="0.69972223043441772" top="0.75" bottom="0.75" header="0.30000001192092896" footer="0.30000001192092896"/>
  <pageSetup paperSize="9" scale="53" orientation="portrait" horizontalDpi="4294967293" verticalDpi="4294967293" r:id="rId1"/>
  <rowBreaks count="2" manualBreakCount="2">
    <brk id="83" max="1048575" man="1"/>
    <brk id="89" max="1048575" man="1"/>
  </rowBreaks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6"/>
  <sheetViews>
    <sheetView showGridLines="0" topLeftCell="A34" zoomScale="70" zoomScaleNormal="70" zoomScaleSheetLayoutView="70" workbookViewId="0">
      <selection activeCell="J42" sqref="J42"/>
    </sheetView>
  </sheetViews>
  <sheetFormatPr defaultColWidth="13.4140625" defaultRowHeight="16"/>
  <cols>
    <col min="1" max="1" width="4.9140625" style="1" customWidth="1"/>
    <col min="2" max="2" width="17.5" style="2" bestFit="1" customWidth="1"/>
    <col min="3" max="3" width="21.6640625" style="3" bestFit="1" customWidth="1"/>
    <col min="4" max="4" width="22.83203125" style="4" bestFit="1" customWidth="1"/>
    <col min="5" max="5" width="21.6640625" style="1" bestFit="1" customWidth="1"/>
    <col min="6" max="6" width="27.25" style="1" bestFit="1" customWidth="1"/>
    <col min="7" max="7" width="18.08203125" style="1" bestFit="1" customWidth="1"/>
    <col min="8" max="8" width="6.4140625" style="1" bestFit="1" customWidth="1"/>
    <col min="9" max="16384" width="13.4140625" style="1"/>
  </cols>
  <sheetData>
    <row r="1" spans="1:8" ht="31.5" customHeight="1" thickBot="1">
      <c r="A1" s="872" t="s">
        <v>958</v>
      </c>
      <c r="B1" s="873"/>
      <c r="C1" s="873"/>
      <c r="D1" s="873"/>
      <c r="E1" s="873"/>
      <c r="F1" s="873"/>
      <c r="G1" s="873"/>
      <c r="H1" s="874"/>
    </row>
    <row r="2" spans="1:8">
      <c r="A2" s="875" t="s">
        <v>112</v>
      </c>
      <c r="B2" s="6" t="s">
        <v>420</v>
      </c>
      <c r="C2" s="7" t="s">
        <v>915</v>
      </c>
      <c r="D2" s="8"/>
      <c r="E2" s="9"/>
      <c r="F2" s="9"/>
      <c r="G2" s="9"/>
      <c r="H2" s="10"/>
    </row>
    <row r="3" spans="1:8">
      <c r="A3" s="876"/>
      <c r="B3" s="11" t="s">
        <v>471</v>
      </c>
      <c r="C3" s="12" t="s">
        <v>916</v>
      </c>
      <c r="D3" s="13"/>
      <c r="E3" s="14"/>
      <c r="F3" s="14"/>
      <c r="G3" s="14"/>
      <c r="H3" s="15"/>
    </row>
    <row r="4" spans="1:8">
      <c r="A4" s="876"/>
      <c r="B4" s="11" t="s">
        <v>407</v>
      </c>
      <c r="C4" s="856" t="s">
        <v>917</v>
      </c>
      <c r="D4" s="857"/>
      <c r="E4" s="548" t="s">
        <v>644</v>
      </c>
      <c r="F4" s="529">
        <v>4500000</v>
      </c>
      <c r="G4" s="14"/>
      <c r="H4" s="15"/>
    </row>
    <row r="5" spans="1:8" ht="31.75" customHeight="1">
      <c r="A5" s="827"/>
      <c r="B5" s="16" t="s">
        <v>626</v>
      </c>
      <c r="C5" s="17">
        <v>251687</v>
      </c>
      <c r="D5" s="882" t="s">
        <v>624</v>
      </c>
      <c r="E5" s="859"/>
      <c r="F5" s="621">
        <f>C5*0.3025/C7</f>
        <v>26.49106384829506</v>
      </c>
      <c r="G5" s="858" t="s">
        <v>522</v>
      </c>
      <c r="H5" s="883"/>
    </row>
    <row r="6" spans="1:8">
      <c r="A6" s="827"/>
      <c r="B6" s="16" t="s">
        <v>425</v>
      </c>
      <c r="C6" s="17">
        <v>12</v>
      </c>
      <c r="D6" s="544" t="s">
        <v>627</v>
      </c>
      <c r="E6" s="530"/>
      <c r="F6" s="538" t="s">
        <v>628</v>
      </c>
      <c r="G6" s="884">
        <f>C5-E6</f>
        <v>251687</v>
      </c>
      <c r="H6" s="996"/>
    </row>
    <row r="7" spans="1:8">
      <c r="A7" s="827"/>
      <c r="B7" s="16" t="s">
        <v>121</v>
      </c>
      <c r="C7" s="17">
        <v>2874</v>
      </c>
      <c r="D7" s="21" t="s">
        <v>39</v>
      </c>
      <c r="E7" s="251">
        <f>C7/C9</f>
        <v>0.85408618127786029</v>
      </c>
      <c r="F7" s="18"/>
      <c r="G7" s="19"/>
      <c r="H7" s="20"/>
    </row>
    <row r="8" spans="1:8">
      <c r="A8" s="827"/>
      <c r="B8" s="16" t="s">
        <v>54</v>
      </c>
      <c r="C8" s="249">
        <f>C9-C7</f>
        <v>491</v>
      </c>
      <c r="D8" s="21" t="s">
        <v>145</v>
      </c>
      <c r="E8" s="620">
        <f>C8/C9</f>
        <v>0.14591381872213968</v>
      </c>
      <c r="F8" s="863" t="s">
        <v>29</v>
      </c>
      <c r="G8" s="864"/>
      <c r="H8" s="865"/>
    </row>
    <row r="9" spans="1:8">
      <c r="A9" s="827"/>
      <c r="B9" s="16" t="s">
        <v>125</v>
      </c>
      <c r="C9" s="17">
        <v>3365</v>
      </c>
      <c r="D9" s="648" t="s">
        <v>918</v>
      </c>
      <c r="E9" s="19"/>
      <c r="F9" s="19"/>
      <c r="G9" s="19"/>
      <c r="H9" s="20"/>
    </row>
    <row r="10" spans="1:8">
      <c r="A10" s="827"/>
      <c r="B10" s="16" t="s">
        <v>427</v>
      </c>
      <c r="C10" s="24">
        <v>0.19839999999999999</v>
      </c>
      <c r="D10" s="551" t="s">
        <v>84</v>
      </c>
      <c r="E10" s="545">
        <f>G6*C10</f>
        <v>49934.700799999999</v>
      </c>
      <c r="F10" s="544" t="s">
        <v>41</v>
      </c>
      <c r="G10" s="541">
        <f>E11/E10</f>
        <v>14.919354838709678</v>
      </c>
      <c r="H10" s="29"/>
    </row>
    <row r="11" spans="1:8">
      <c r="A11" s="827"/>
      <c r="B11" s="16" t="s">
        <v>466</v>
      </c>
      <c r="C11" s="24">
        <v>2.96</v>
      </c>
      <c r="D11" s="551" t="s">
        <v>631</v>
      </c>
      <c r="E11" s="546">
        <f>G6*C11</f>
        <v>744993.52</v>
      </c>
      <c r="F11" s="544" t="s">
        <v>209</v>
      </c>
      <c r="G11" s="541">
        <f>E11*76%</f>
        <v>566195.07519999996</v>
      </c>
      <c r="H11" s="31"/>
    </row>
    <row r="12" spans="1:8" ht="32">
      <c r="A12" s="827"/>
      <c r="B12" s="16" t="s">
        <v>208</v>
      </c>
      <c r="C12" s="588" t="s">
        <v>814</v>
      </c>
      <c r="D12" s="550" t="s">
        <v>629</v>
      </c>
      <c r="E12" s="529" t="s">
        <v>625</v>
      </c>
      <c r="F12" s="542" t="s">
        <v>234</v>
      </c>
      <c r="G12" s="543" t="e">
        <f>G11/C37</f>
        <v>#DIV/0!</v>
      </c>
      <c r="H12" s="55"/>
    </row>
    <row r="13" spans="1:8">
      <c r="A13" s="827"/>
      <c r="B13" s="16" t="s">
        <v>441</v>
      </c>
      <c r="C13" s="25" t="s">
        <v>815</v>
      </c>
      <c r="D13" s="544" t="s">
        <v>630</v>
      </c>
      <c r="E13" s="547" t="e">
        <f>C7*E12</f>
        <v>#VALUE!</v>
      </c>
      <c r="F13" s="540" t="s">
        <v>632</v>
      </c>
      <c r="G13" s="541">
        <f>E11*0.3025/F5</f>
        <v>8507.0399999999991</v>
      </c>
      <c r="H13" s="20"/>
    </row>
    <row r="14" spans="1:8">
      <c r="A14" s="827"/>
      <c r="B14" s="32" t="s">
        <v>641</v>
      </c>
      <c r="C14" s="33" t="s">
        <v>920</v>
      </c>
      <c r="D14" s="549" t="s">
        <v>633</v>
      </c>
      <c r="E14" s="530" t="s">
        <v>625</v>
      </c>
      <c r="F14" s="538" t="s">
        <v>645</v>
      </c>
      <c r="G14" s="539" t="e">
        <f>E14*G13</f>
        <v>#VALUE!</v>
      </c>
      <c r="H14" s="20"/>
    </row>
    <row r="15" spans="1:8" ht="3.65" customHeight="1" thickBot="1">
      <c r="A15" s="827"/>
      <c r="B15" s="516"/>
      <c r="C15" s="517"/>
      <c r="D15" s="518"/>
      <c r="E15" s="155"/>
      <c r="F15" s="514"/>
      <c r="G15" s="519"/>
      <c r="H15" s="156"/>
    </row>
    <row r="16" spans="1:8" ht="16.5" thickTop="1">
      <c r="A16" s="877"/>
      <c r="B16" s="520" t="s">
        <v>635</v>
      </c>
      <c r="C16" s="656" t="e">
        <f>E16+G16</f>
        <v>#VALUE!</v>
      </c>
      <c r="D16" s="522" t="s">
        <v>643</v>
      </c>
      <c r="E16" s="657" t="e">
        <f>G14*F4</f>
        <v>#VALUE!</v>
      </c>
      <c r="F16" s="524" t="s">
        <v>634</v>
      </c>
      <c r="G16" s="657" t="e">
        <f>E16*30%</f>
        <v>#VALUE!</v>
      </c>
      <c r="H16" s="525"/>
    </row>
    <row r="17" spans="1:11">
      <c r="A17" s="877"/>
      <c r="B17" s="526" t="s">
        <v>638</v>
      </c>
      <c r="C17" s="658" t="e">
        <f>(E17*C7)+(G17*C8)</f>
        <v>#VALUE!</v>
      </c>
      <c r="D17" s="528" t="s">
        <v>636</v>
      </c>
      <c r="E17" s="529" t="s">
        <v>625</v>
      </c>
      <c r="F17" s="530" t="s">
        <v>637</v>
      </c>
      <c r="G17" s="529" t="s">
        <v>625</v>
      </c>
      <c r="H17" s="531"/>
    </row>
    <row r="18" spans="1:11" ht="32.5" thickBot="1">
      <c r="A18" s="877"/>
      <c r="B18" s="532" t="s">
        <v>642</v>
      </c>
      <c r="C18" s="659" t="e">
        <f>E18/E13</f>
        <v>#VALUE!</v>
      </c>
      <c r="D18" s="534" t="s">
        <v>639</v>
      </c>
      <c r="E18" s="660" t="e">
        <f>C17-C16</f>
        <v>#VALUE!</v>
      </c>
      <c r="F18" s="536" t="s">
        <v>640</v>
      </c>
      <c r="G18" s="660" t="e">
        <f>E18/C7</f>
        <v>#VALUE!</v>
      </c>
      <c r="H18" s="537"/>
    </row>
    <row r="19" spans="1:11" ht="18" thickTop="1" thickBot="1">
      <c r="A19" s="646"/>
      <c r="B19" s="655" t="s">
        <v>919</v>
      </c>
      <c r="C19" s="653" t="s">
        <v>921</v>
      </c>
      <c r="D19" s="649"/>
      <c r="E19" s="652"/>
      <c r="F19" s="650"/>
      <c r="G19" s="652"/>
      <c r="H19" s="651"/>
    </row>
    <row r="20" spans="1:11" ht="5.25" customHeight="1" thickBot="1">
      <c r="A20" s="39"/>
      <c r="B20" s="515"/>
      <c r="C20" s="41"/>
      <c r="D20" s="41"/>
      <c r="H20" s="42"/>
    </row>
    <row r="21" spans="1:11">
      <c r="A21" s="875" t="s">
        <v>49</v>
      </c>
      <c r="B21" s="43" t="s">
        <v>81</v>
      </c>
      <c r="C21" s="44" t="s">
        <v>922</v>
      </c>
      <c r="D21" s="45"/>
      <c r="E21" s="9"/>
      <c r="F21" s="9"/>
      <c r="G21" s="9"/>
      <c r="H21" s="10"/>
    </row>
    <row r="22" spans="1:11">
      <c r="A22" s="827"/>
      <c r="B22" s="25" t="s">
        <v>147</v>
      </c>
      <c r="C22" s="46" t="s">
        <v>923</v>
      </c>
      <c r="D22" s="47"/>
      <c r="E22" s="19"/>
      <c r="F22" s="19"/>
      <c r="G22" s="19"/>
      <c r="H22" s="20"/>
    </row>
    <row r="23" spans="1:11">
      <c r="A23" s="827"/>
      <c r="B23" s="25" t="s">
        <v>98</v>
      </c>
      <c r="C23" s="622" t="s">
        <v>924</v>
      </c>
      <c r="D23" s="47"/>
      <c r="E23" s="19"/>
      <c r="F23" s="19"/>
      <c r="G23" s="19"/>
      <c r="H23" s="20"/>
    </row>
    <row r="24" spans="1:11">
      <c r="A24" s="827"/>
      <c r="B24" s="25" t="s">
        <v>73</v>
      </c>
      <c r="C24" s="25" t="s">
        <v>925</v>
      </c>
      <c r="D24" s="23"/>
      <c r="E24" s="19"/>
      <c r="F24" s="19"/>
      <c r="G24" s="19"/>
      <c r="H24" s="20"/>
    </row>
    <row r="25" spans="1:11">
      <c r="A25" s="827"/>
      <c r="B25" s="25" t="s">
        <v>452</v>
      </c>
      <c r="C25" s="25" t="s">
        <v>926</v>
      </c>
      <c r="D25" s="23"/>
      <c r="E25" s="19"/>
      <c r="F25" s="19"/>
      <c r="G25" s="19"/>
      <c r="H25" s="20"/>
    </row>
    <row r="26" spans="1:11">
      <c r="A26" s="827"/>
      <c r="B26" s="25" t="s">
        <v>445</v>
      </c>
      <c r="C26" s="25" t="s">
        <v>927</v>
      </c>
      <c r="D26" s="23"/>
      <c r="E26" s="19"/>
      <c r="F26" s="19"/>
      <c r="G26" s="19"/>
      <c r="H26" s="20"/>
    </row>
    <row r="27" spans="1:11">
      <c r="A27" s="827"/>
      <c r="B27" s="25" t="s">
        <v>167</v>
      </c>
      <c r="C27" s="25" t="s">
        <v>928</v>
      </c>
      <c r="D27" s="23"/>
      <c r="E27" s="19"/>
      <c r="F27" s="19"/>
      <c r="G27" s="19"/>
      <c r="H27" s="20"/>
    </row>
    <row r="28" spans="1:11" ht="16.5" thickBot="1">
      <c r="A28" s="828"/>
      <c r="B28" s="647" t="s">
        <v>447</v>
      </c>
      <c r="C28" s="647" t="s">
        <v>935</v>
      </c>
      <c r="D28" s="48"/>
      <c r="E28" s="37"/>
      <c r="F28" s="37"/>
      <c r="G28" s="37"/>
      <c r="H28" s="38"/>
      <c r="K28" s="654"/>
    </row>
    <row r="29" spans="1:11" ht="5.25" customHeight="1" thickBot="1">
      <c r="A29" s="39"/>
      <c r="B29" s="40"/>
      <c r="H29" s="42"/>
    </row>
    <row r="30" spans="1:11" s="5" customFormat="1">
      <c r="A30" s="875" t="s">
        <v>160</v>
      </c>
      <c r="B30" s="241" t="s">
        <v>101</v>
      </c>
      <c r="C30" s="242" t="s">
        <v>48</v>
      </c>
      <c r="D30" s="243" t="s">
        <v>125</v>
      </c>
      <c r="E30" s="243" t="s">
        <v>526</v>
      </c>
      <c r="F30" s="243" t="s">
        <v>527</v>
      </c>
      <c r="G30" s="243" t="s">
        <v>528</v>
      </c>
      <c r="H30" s="244" t="s">
        <v>454</v>
      </c>
    </row>
    <row r="31" spans="1:11">
      <c r="A31" s="827"/>
      <c r="B31" s="16"/>
      <c r="C31" s="53">
        <f>39*D31</f>
        <v>0</v>
      </c>
      <c r="D31" s="17"/>
      <c r="E31" s="54"/>
      <c r="F31" s="54"/>
      <c r="G31" s="54"/>
      <c r="H31" s="55" t="e">
        <f t="shared" ref="H31:H36" si="0">D31/$D$37</f>
        <v>#DIV/0!</v>
      </c>
    </row>
    <row r="32" spans="1:11">
      <c r="A32" s="827"/>
      <c r="B32" s="16"/>
      <c r="C32" s="53">
        <f>59*D32</f>
        <v>0</v>
      </c>
      <c r="D32" s="17"/>
      <c r="E32" s="54"/>
      <c r="F32" s="160"/>
      <c r="G32" s="54"/>
      <c r="H32" s="55" t="e">
        <f t="shared" si="0"/>
        <v>#DIV/0!</v>
      </c>
    </row>
    <row r="33" spans="1:8">
      <c r="A33" s="827"/>
      <c r="B33" s="16"/>
      <c r="C33" s="53">
        <f>59*D33</f>
        <v>0</v>
      </c>
      <c r="D33" s="17"/>
      <c r="E33" s="54"/>
      <c r="F33" s="160"/>
      <c r="G33" s="54"/>
      <c r="H33" s="55" t="e">
        <f t="shared" si="0"/>
        <v>#DIV/0!</v>
      </c>
    </row>
    <row r="34" spans="1:8">
      <c r="A34" s="827"/>
      <c r="B34" s="16"/>
      <c r="C34" s="53">
        <f>70*D34</f>
        <v>0</v>
      </c>
      <c r="D34" s="17"/>
      <c r="E34" s="54"/>
      <c r="F34" s="160"/>
      <c r="G34" s="54"/>
      <c r="H34" s="55" t="e">
        <f t="shared" si="0"/>
        <v>#DIV/0!</v>
      </c>
    </row>
    <row r="35" spans="1:8">
      <c r="A35" s="827"/>
      <c r="B35" s="16"/>
      <c r="C35" s="53">
        <f>74*D35</f>
        <v>0</v>
      </c>
      <c r="D35" s="17"/>
      <c r="E35" s="54"/>
      <c r="F35" s="160"/>
      <c r="G35" s="54"/>
      <c r="H35" s="55" t="e">
        <f t="shared" si="0"/>
        <v>#DIV/0!</v>
      </c>
    </row>
    <row r="36" spans="1:8">
      <c r="A36" s="827"/>
      <c r="B36" s="16"/>
      <c r="C36" s="53">
        <f>84*D36</f>
        <v>0</v>
      </c>
      <c r="D36" s="17"/>
      <c r="E36" s="54"/>
      <c r="F36" s="160"/>
      <c r="G36" s="54"/>
      <c r="H36" s="55" t="e">
        <f t="shared" si="0"/>
        <v>#DIV/0!</v>
      </c>
    </row>
    <row r="37" spans="1:8" ht="16.5" thickBot="1">
      <c r="A37" s="828"/>
      <c r="B37" s="56" t="s">
        <v>462</v>
      </c>
      <c r="C37" s="57">
        <f t="shared" ref="C37:H37" si="1">SUM(C31:C36)</f>
        <v>0</v>
      </c>
      <c r="D37" s="58">
        <f t="shared" si="1"/>
        <v>0</v>
      </c>
      <c r="E37" s="59">
        <f t="shared" si="1"/>
        <v>0</v>
      </c>
      <c r="F37" s="59">
        <f t="shared" si="1"/>
        <v>0</v>
      </c>
      <c r="G37" s="59">
        <f t="shared" si="1"/>
        <v>0</v>
      </c>
      <c r="H37" s="60" t="e">
        <f t="shared" si="1"/>
        <v>#DIV/0!</v>
      </c>
    </row>
    <row r="38" spans="1:8" ht="4.5" customHeight="1" thickBot="1">
      <c r="A38" s="39"/>
      <c r="B38" s="143"/>
      <c r="H38" s="42"/>
    </row>
    <row r="39" spans="1:8" s="2" customFormat="1" ht="16" customHeight="1">
      <c r="A39" s="962" t="s">
        <v>931</v>
      </c>
      <c r="B39" s="241" t="s">
        <v>101</v>
      </c>
      <c r="C39" s="243" t="s">
        <v>930</v>
      </c>
      <c r="D39" s="243" t="s">
        <v>932</v>
      </c>
      <c r="E39" s="245" t="s">
        <v>933</v>
      </c>
      <c r="F39" s="1059" t="s">
        <v>470</v>
      </c>
      <c r="G39" s="1060"/>
      <c r="H39" s="1061"/>
    </row>
    <row r="40" spans="1:8" ht="16.5" customHeight="1">
      <c r="A40" s="1071"/>
      <c r="B40" s="16"/>
      <c r="C40" s="62"/>
      <c r="D40" s="63"/>
      <c r="E40" s="661">
        <f t="shared" ref="E40:E45" si="2">D40-C40</f>
        <v>0</v>
      </c>
      <c r="F40" s="1062" t="s">
        <v>940</v>
      </c>
      <c r="G40" s="1063"/>
      <c r="H40" s="1064"/>
    </row>
    <row r="41" spans="1:8" ht="16.5" customHeight="1">
      <c r="A41" s="1071"/>
      <c r="B41" s="16"/>
      <c r="C41" s="62"/>
      <c r="D41" s="63"/>
      <c r="E41" s="661">
        <f t="shared" si="2"/>
        <v>0</v>
      </c>
      <c r="F41" s="1065"/>
      <c r="G41" s="1066"/>
      <c r="H41" s="1067"/>
    </row>
    <row r="42" spans="1:8" ht="16.5" customHeight="1">
      <c r="A42" s="1071"/>
      <c r="B42" s="16"/>
      <c r="C42" s="62"/>
      <c r="D42" s="63"/>
      <c r="E42" s="661">
        <f t="shared" si="2"/>
        <v>0</v>
      </c>
      <c r="F42" s="1065"/>
      <c r="G42" s="1066"/>
      <c r="H42" s="1067"/>
    </row>
    <row r="43" spans="1:8" ht="16.5" customHeight="1">
      <c r="A43" s="1071"/>
      <c r="B43" s="16" t="s">
        <v>929</v>
      </c>
      <c r="C43" s="62"/>
      <c r="D43" s="63"/>
      <c r="E43" s="661">
        <f t="shared" si="2"/>
        <v>0</v>
      </c>
      <c r="F43" s="1065"/>
      <c r="G43" s="1066"/>
      <c r="H43" s="1067"/>
    </row>
    <row r="44" spans="1:8" ht="16.5" customHeight="1">
      <c r="A44" s="1071"/>
      <c r="B44" s="16"/>
      <c r="C44" s="62"/>
      <c r="D44" s="63"/>
      <c r="E44" s="661">
        <f t="shared" si="2"/>
        <v>0</v>
      </c>
      <c r="F44" s="1065"/>
      <c r="G44" s="1066"/>
      <c r="H44" s="1067"/>
    </row>
    <row r="45" spans="1:8" ht="16.5" customHeight="1" thickBot="1">
      <c r="A45" s="1072"/>
      <c r="B45" s="56"/>
      <c r="C45" s="64"/>
      <c r="D45" s="65"/>
      <c r="E45" s="662">
        <f t="shared" si="2"/>
        <v>0</v>
      </c>
      <c r="F45" s="1068"/>
      <c r="G45" s="1069"/>
      <c r="H45" s="1070"/>
    </row>
    <row r="46" spans="1:8" ht="5.25" customHeight="1" thickBot="1">
      <c r="A46" s="67"/>
      <c r="B46" s="515"/>
      <c r="C46" s="68"/>
      <c r="D46" s="69"/>
      <c r="E46" s="69"/>
      <c r="F46" s="69"/>
      <c r="G46" s="69"/>
    </row>
    <row r="47" spans="1:8">
      <c r="A47" s="833" t="s">
        <v>598</v>
      </c>
      <c r="B47" s="243" t="s">
        <v>599</v>
      </c>
      <c r="C47" s="242" t="s">
        <v>660</v>
      </c>
      <c r="D47" s="965" t="s">
        <v>600</v>
      </c>
      <c r="E47" s="965"/>
      <c r="F47" s="965"/>
      <c r="G47" s="965"/>
      <c r="H47" s="966"/>
    </row>
    <row r="48" spans="1:8" ht="17">
      <c r="A48" s="834"/>
      <c r="B48" s="165" t="s">
        <v>601</v>
      </c>
      <c r="C48" s="510"/>
      <c r="D48" s="617"/>
      <c r="E48" s="54"/>
      <c r="F48" s="54"/>
      <c r="G48" s="54"/>
      <c r="H48" s="31"/>
    </row>
    <row r="49" spans="1:8" ht="17">
      <c r="A49" s="834"/>
      <c r="B49" s="165" t="s">
        <v>602</v>
      </c>
      <c r="C49" s="510"/>
      <c r="D49" s="17"/>
      <c r="E49" s="54"/>
      <c r="F49" s="54"/>
      <c r="G49" s="54"/>
      <c r="H49" s="31"/>
    </row>
    <row r="50" spans="1:8">
      <c r="A50" s="834"/>
      <c r="B50" s="165" t="s">
        <v>603</v>
      </c>
      <c r="C50" s="53"/>
      <c r="D50" s="17"/>
      <c r="E50" s="54"/>
      <c r="F50" s="54"/>
      <c r="G50" s="54"/>
      <c r="H50" s="31"/>
    </row>
    <row r="51" spans="1:8">
      <c r="A51" s="834"/>
      <c r="B51" s="165" t="s">
        <v>604</v>
      </c>
      <c r="C51" s="53"/>
      <c r="D51" s="17"/>
      <c r="E51" s="54"/>
      <c r="F51" s="54"/>
      <c r="G51" s="54"/>
      <c r="H51" s="31"/>
    </row>
    <row r="52" spans="1:8">
      <c r="A52" s="834"/>
      <c r="B52" s="165" t="s">
        <v>584</v>
      </c>
      <c r="C52" s="53"/>
      <c r="D52" s="17"/>
      <c r="E52" s="54"/>
      <c r="F52" s="54"/>
      <c r="G52" s="54"/>
      <c r="H52" s="31"/>
    </row>
    <row r="53" spans="1:8">
      <c r="A53" s="834"/>
      <c r="B53" s="165" t="s">
        <v>609</v>
      </c>
      <c r="C53" s="53"/>
      <c r="D53" s="17"/>
      <c r="E53" s="54"/>
      <c r="F53" s="54"/>
      <c r="G53" s="54"/>
      <c r="H53" s="31"/>
    </row>
    <row r="54" spans="1:8">
      <c r="A54" s="834"/>
      <c r="B54" s="165" t="s">
        <v>610</v>
      </c>
      <c r="C54" s="53"/>
      <c r="D54" s="17"/>
      <c r="E54" s="54"/>
      <c r="F54" s="54"/>
      <c r="G54" s="54"/>
      <c r="H54" s="31"/>
    </row>
    <row r="55" spans="1:8">
      <c r="A55" s="834"/>
      <c r="B55" s="165" t="s">
        <v>611</v>
      </c>
      <c r="C55" s="53"/>
      <c r="D55" s="17"/>
      <c r="E55" s="54"/>
      <c r="F55" s="54"/>
      <c r="G55" s="54"/>
      <c r="H55" s="31"/>
    </row>
    <row r="56" spans="1:8">
      <c r="A56" s="834"/>
      <c r="B56" s="165" t="s">
        <v>616</v>
      </c>
      <c r="C56" s="53"/>
      <c r="D56" s="17"/>
      <c r="E56" s="54"/>
      <c r="F56" s="54"/>
      <c r="G56" s="54"/>
      <c r="H56" s="31"/>
    </row>
    <row r="57" spans="1:8">
      <c r="A57" s="834"/>
      <c r="B57" s="489" t="s">
        <v>829</v>
      </c>
      <c r="C57" s="53"/>
      <c r="D57" s="17"/>
      <c r="E57" s="54"/>
      <c r="F57" s="54"/>
      <c r="G57" s="54"/>
      <c r="H57" s="31"/>
    </row>
    <row r="58" spans="1:8">
      <c r="A58" s="834"/>
      <c r="B58" s="489" t="s">
        <v>830</v>
      </c>
      <c r="C58" s="53"/>
      <c r="D58" s="17"/>
      <c r="E58" s="54"/>
      <c r="F58" s="54"/>
      <c r="G58" s="54"/>
      <c r="H58" s="31"/>
    </row>
    <row r="59" spans="1:8">
      <c r="A59" s="834"/>
      <c r="B59" s="165" t="s">
        <v>831</v>
      </c>
      <c r="C59" s="53"/>
      <c r="D59" s="17"/>
      <c r="E59" s="54"/>
      <c r="F59" s="54"/>
      <c r="G59" s="54"/>
      <c r="H59" s="31"/>
    </row>
    <row r="60" spans="1:8" ht="17.5" thickBot="1">
      <c r="A60" s="836"/>
      <c r="B60" s="490" t="s">
        <v>934</v>
      </c>
      <c r="C60" s="494"/>
      <c r="D60" s="618"/>
      <c r="E60" s="619"/>
      <c r="F60" s="619"/>
      <c r="G60" s="619"/>
      <c r="H60" s="66"/>
    </row>
    <row r="61" spans="1:8">
      <c r="A61" s="826" t="s">
        <v>650</v>
      </c>
      <c r="B61" s="582" t="s">
        <v>937</v>
      </c>
      <c r="C61" s="565"/>
      <c r="D61" s="566"/>
      <c r="E61" s="559"/>
      <c r="F61" s="559"/>
      <c r="G61" s="559"/>
      <c r="H61" s="567"/>
    </row>
    <row r="62" spans="1:8">
      <c r="A62" s="827"/>
      <c r="B62" s="206" t="s">
        <v>938</v>
      </c>
      <c r="C62" s="78"/>
      <c r="D62" s="79"/>
      <c r="E62" s="76"/>
      <c r="F62" s="76"/>
      <c r="G62" s="76"/>
      <c r="H62" s="114"/>
    </row>
    <row r="63" spans="1:8">
      <c r="A63" s="827"/>
      <c r="B63" s="206" t="s">
        <v>936</v>
      </c>
      <c r="C63" s="78"/>
      <c r="D63" s="79"/>
      <c r="E63" s="76"/>
      <c r="F63" s="76"/>
      <c r="G63" s="76"/>
      <c r="H63" s="114"/>
    </row>
    <row r="64" spans="1:8">
      <c r="A64" s="827"/>
      <c r="B64" s="206" t="s">
        <v>939</v>
      </c>
      <c r="C64" s="78"/>
      <c r="D64" s="79"/>
      <c r="E64" s="76"/>
      <c r="F64" s="76"/>
      <c r="G64" s="76"/>
      <c r="H64" s="114"/>
    </row>
    <row r="65" spans="1:8">
      <c r="A65" s="827"/>
      <c r="B65" s="206"/>
      <c r="C65" s="78"/>
      <c r="D65" s="79"/>
      <c r="E65" s="76"/>
      <c r="F65" s="76"/>
      <c r="G65" s="76"/>
      <c r="H65" s="114"/>
    </row>
    <row r="66" spans="1:8" ht="16.5" thickBot="1">
      <c r="A66" s="828"/>
      <c r="B66" s="568"/>
      <c r="C66" s="569"/>
      <c r="D66" s="570"/>
      <c r="E66" s="571"/>
      <c r="F66" s="571"/>
      <c r="G66" s="571"/>
      <c r="H66" s="572"/>
    </row>
  </sheetData>
  <mergeCells count="15">
    <mergeCell ref="A1:H1"/>
    <mergeCell ref="A2:A18"/>
    <mergeCell ref="C4:D4"/>
    <mergeCell ref="D5:E5"/>
    <mergeCell ref="G5:H5"/>
    <mergeCell ref="G6:H6"/>
    <mergeCell ref="F8:H8"/>
    <mergeCell ref="A61:A66"/>
    <mergeCell ref="F39:H39"/>
    <mergeCell ref="F40:H45"/>
    <mergeCell ref="A21:A28"/>
    <mergeCell ref="A30:A37"/>
    <mergeCell ref="A39:A45"/>
    <mergeCell ref="A47:A60"/>
    <mergeCell ref="D47:H47"/>
  </mergeCells>
  <phoneticPr fontId="16" type="noConversion"/>
  <pageMargins left="0.69972223043441772" right="0.69972223043441772" top="0.75" bottom="0.75" header="0.30000001192092896" footer="0.30000001192092896"/>
  <pageSetup paperSize="9" scale="86" orientation="portrait" horizontalDpi="4294967293" verticalDpi="4294967293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showGridLines="0" topLeftCell="A34" zoomScale="85" zoomScaleNormal="85" zoomScaleSheetLayoutView="70" workbookViewId="0">
      <selection activeCell="D37" sqref="D37"/>
    </sheetView>
  </sheetViews>
  <sheetFormatPr defaultColWidth="13.4140625" defaultRowHeight="16"/>
  <cols>
    <col min="1" max="1" width="4.9140625" style="1" customWidth="1"/>
    <col min="2" max="2" width="17.5" style="2" bestFit="1" customWidth="1"/>
    <col min="3" max="3" width="21.6640625" style="3" bestFit="1" customWidth="1"/>
    <col min="4" max="4" width="22.83203125" style="4" bestFit="1" customWidth="1"/>
    <col min="5" max="5" width="21.6640625" style="1" customWidth="1"/>
    <col min="6" max="6" width="27.25" style="1" bestFit="1" customWidth="1"/>
    <col min="7" max="7" width="18.08203125" style="1" bestFit="1" customWidth="1"/>
    <col min="8" max="8" width="6.4140625" style="1" bestFit="1" customWidth="1"/>
    <col min="9" max="16384" width="13.4140625" style="1"/>
  </cols>
  <sheetData>
    <row r="1" spans="1:8" ht="31.5" customHeight="1" thickBot="1">
      <c r="A1" s="872" t="s">
        <v>979</v>
      </c>
      <c r="B1" s="873"/>
      <c r="C1" s="873"/>
      <c r="D1" s="873"/>
      <c r="E1" s="873"/>
      <c r="F1" s="873"/>
      <c r="G1" s="873"/>
      <c r="H1" s="874"/>
    </row>
    <row r="2" spans="1:8">
      <c r="A2" s="875" t="s">
        <v>112</v>
      </c>
      <c r="B2" s="6" t="s">
        <v>420</v>
      </c>
      <c r="C2" s="7" t="s">
        <v>959</v>
      </c>
      <c r="D2" s="8"/>
      <c r="E2" s="9"/>
      <c r="F2" s="9"/>
      <c r="G2" s="9"/>
      <c r="H2" s="10"/>
    </row>
    <row r="3" spans="1:8">
      <c r="A3" s="876"/>
      <c r="B3" s="11" t="s">
        <v>471</v>
      </c>
      <c r="C3" s="12" t="s">
        <v>962</v>
      </c>
      <c r="D3" s="13"/>
      <c r="E3" s="14"/>
      <c r="F3" s="14"/>
      <c r="G3" s="14"/>
      <c r="H3" s="15"/>
    </row>
    <row r="4" spans="1:8">
      <c r="A4" s="876"/>
      <c r="B4" s="11" t="s">
        <v>407</v>
      </c>
      <c r="C4" s="856" t="s">
        <v>960</v>
      </c>
      <c r="D4" s="857"/>
      <c r="E4" s="548" t="s">
        <v>644</v>
      </c>
      <c r="F4" s="529">
        <v>4500000</v>
      </c>
      <c r="G4" s="14"/>
      <c r="H4" s="15"/>
    </row>
    <row r="5" spans="1:8" ht="31.75" customHeight="1">
      <c r="A5" s="827"/>
      <c r="B5" s="16" t="s">
        <v>626</v>
      </c>
      <c r="C5" s="17">
        <v>35316</v>
      </c>
      <c r="D5" s="882" t="s">
        <v>624</v>
      </c>
      <c r="E5" s="859"/>
      <c r="F5" s="621">
        <f>C5*0.3025/C7</f>
        <v>59.350500000000004</v>
      </c>
      <c r="G5" s="858" t="s">
        <v>522</v>
      </c>
      <c r="H5" s="883"/>
    </row>
    <row r="6" spans="1:8">
      <c r="A6" s="827"/>
      <c r="B6" s="16" t="s">
        <v>425</v>
      </c>
      <c r="C6" s="17">
        <v>5</v>
      </c>
      <c r="D6" s="544" t="s">
        <v>627</v>
      </c>
      <c r="E6" s="530"/>
      <c r="F6" s="538" t="s">
        <v>628</v>
      </c>
      <c r="G6" s="884">
        <f>C5-E6</f>
        <v>35316</v>
      </c>
      <c r="H6" s="996"/>
    </row>
    <row r="7" spans="1:8">
      <c r="A7" s="827"/>
      <c r="B7" s="16" t="s">
        <v>121</v>
      </c>
      <c r="C7" s="17">
        <v>180</v>
      </c>
      <c r="D7" s="21" t="s">
        <v>39</v>
      </c>
      <c r="E7" s="251">
        <f>C7/C9</f>
        <v>0.28662420382165604</v>
      </c>
      <c r="F7" s="18"/>
      <c r="G7" s="19"/>
      <c r="H7" s="20"/>
    </row>
    <row r="8" spans="1:8">
      <c r="A8" s="827"/>
      <c r="B8" s="16" t="s">
        <v>54</v>
      </c>
      <c r="C8" s="249">
        <f>C9-C7</f>
        <v>448</v>
      </c>
      <c r="D8" s="21" t="s">
        <v>145</v>
      </c>
      <c r="E8" s="620">
        <f>C8/C9</f>
        <v>0.7133757961783439</v>
      </c>
      <c r="F8" s="863" t="s">
        <v>29</v>
      </c>
      <c r="G8" s="864"/>
      <c r="H8" s="865"/>
    </row>
    <row r="9" spans="1:8">
      <c r="A9" s="827"/>
      <c r="B9" s="16" t="s">
        <v>125</v>
      </c>
      <c r="C9" s="17">
        <v>628</v>
      </c>
      <c r="D9" s="668" t="s">
        <v>918</v>
      </c>
      <c r="E9" s="19"/>
      <c r="F9" s="19"/>
      <c r="G9" s="19"/>
      <c r="H9" s="20"/>
    </row>
    <row r="10" spans="1:8">
      <c r="A10" s="827"/>
      <c r="B10" s="16" t="s">
        <v>427</v>
      </c>
      <c r="C10" s="24">
        <v>0.3</v>
      </c>
      <c r="D10" s="551" t="s">
        <v>84</v>
      </c>
      <c r="E10" s="545">
        <f>G6*C10</f>
        <v>10594.8</v>
      </c>
      <c r="F10" s="544" t="s">
        <v>41</v>
      </c>
      <c r="G10" s="541">
        <f>E11/E10</f>
        <v>8.6666666666666679</v>
      </c>
      <c r="H10" s="29"/>
    </row>
    <row r="11" spans="1:8">
      <c r="A11" s="827"/>
      <c r="B11" s="16" t="s">
        <v>466</v>
      </c>
      <c r="C11" s="24">
        <v>2.6</v>
      </c>
      <c r="D11" s="551" t="s">
        <v>631</v>
      </c>
      <c r="E11" s="546">
        <f>G6*C11</f>
        <v>91821.6</v>
      </c>
      <c r="F11" s="544" t="s">
        <v>209</v>
      </c>
      <c r="G11" s="541">
        <f>E11*76%</f>
        <v>69784.416000000012</v>
      </c>
      <c r="H11" s="31"/>
    </row>
    <row r="12" spans="1:8" ht="32">
      <c r="A12" s="827"/>
      <c r="B12" s="16" t="s">
        <v>208</v>
      </c>
      <c r="C12" s="588" t="s">
        <v>961</v>
      </c>
      <c r="D12" s="550" t="s">
        <v>629</v>
      </c>
      <c r="E12" s="529" t="s">
        <v>625</v>
      </c>
      <c r="F12" s="542" t="s">
        <v>234</v>
      </c>
      <c r="G12" s="543" t="e">
        <f>G11/C39</f>
        <v>#DIV/0!</v>
      </c>
      <c r="H12" s="55"/>
    </row>
    <row r="13" spans="1:8">
      <c r="A13" s="827"/>
      <c r="B13" s="16" t="s">
        <v>441</v>
      </c>
      <c r="C13" s="25" t="s">
        <v>959</v>
      </c>
      <c r="D13" s="544" t="s">
        <v>630</v>
      </c>
      <c r="E13" s="547" t="e">
        <f>C7*E12</f>
        <v>#VALUE!</v>
      </c>
      <c r="F13" s="540" t="s">
        <v>632</v>
      </c>
      <c r="G13" s="541">
        <f>E11*0.3025/F5</f>
        <v>467.99999999999994</v>
      </c>
      <c r="H13" s="20"/>
    </row>
    <row r="14" spans="1:8">
      <c r="A14" s="827"/>
      <c r="B14" s="32" t="s">
        <v>641</v>
      </c>
      <c r="C14" s="33" t="s">
        <v>625</v>
      </c>
      <c r="D14" s="549" t="s">
        <v>633</v>
      </c>
      <c r="E14" s="530" t="s">
        <v>625</v>
      </c>
      <c r="F14" s="538" t="s">
        <v>645</v>
      </c>
      <c r="G14" s="539" t="e">
        <f>E14*G13</f>
        <v>#VALUE!</v>
      </c>
      <c r="H14" s="20"/>
    </row>
    <row r="15" spans="1:8" ht="3.65" customHeight="1" thickBot="1">
      <c r="A15" s="827"/>
      <c r="B15" s="516"/>
      <c r="C15" s="517"/>
      <c r="D15" s="518"/>
      <c r="E15" s="155"/>
      <c r="F15" s="514"/>
      <c r="G15" s="519"/>
      <c r="H15" s="156"/>
    </row>
    <row r="16" spans="1:8" ht="16.5" thickTop="1">
      <c r="A16" s="877"/>
      <c r="B16" s="520" t="s">
        <v>635</v>
      </c>
      <c r="C16" s="656" t="e">
        <f>E16+G16</f>
        <v>#VALUE!</v>
      </c>
      <c r="D16" s="522" t="s">
        <v>643</v>
      </c>
      <c r="E16" s="657" t="e">
        <f>G14*F4</f>
        <v>#VALUE!</v>
      </c>
      <c r="F16" s="524" t="s">
        <v>634</v>
      </c>
      <c r="G16" s="657" t="e">
        <f>E16*30%</f>
        <v>#VALUE!</v>
      </c>
      <c r="H16" s="525"/>
    </row>
    <row r="17" spans="1:8">
      <c r="A17" s="877"/>
      <c r="B17" s="526" t="s">
        <v>638</v>
      </c>
      <c r="C17" s="658" t="e">
        <f>(E17*C7)+(G17*C8)</f>
        <v>#VALUE!</v>
      </c>
      <c r="D17" s="528" t="s">
        <v>636</v>
      </c>
      <c r="E17" s="529" t="s">
        <v>625</v>
      </c>
      <c r="F17" s="530" t="s">
        <v>637</v>
      </c>
      <c r="G17" s="529" t="s">
        <v>625</v>
      </c>
      <c r="H17" s="531"/>
    </row>
    <row r="18" spans="1:8" ht="32.5" thickBot="1">
      <c r="A18" s="877"/>
      <c r="B18" s="532" t="s">
        <v>642</v>
      </c>
      <c r="C18" s="659" t="e">
        <f>E18/E13</f>
        <v>#VALUE!</v>
      </c>
      <c r="D18" s="534" t="s">
        <v>639</v>
      </c>
      <c r="E18" s="660" t="e">
        <f>C17-C16</f>
        <v>#VALUE!</v>
      </c>
      <c r="F18" s="536" t="s">
        <v>640</v>
      </c>
      <c r="G18" s="660" t="e">
        <f>E18/C7</f>
        <v>#VALUE!</v>
      </c>
      <c r="H18" s="537"/>
    </row>
    <row r="19" spans="1:8" ht="60.5" customHeight="1" thickTop="1" thickBot="1">
      <c r="A19" s="666"/>
      <c r="B19" s="655" t="s">
        <v>919</v>
      </c>
      <c r="C19" s="1073" t="s">
        <v>976</v>
      </c>
      <c r="D19" s="1074"/>
      <c r="E19" s="1074"/>
      <c r="F19" s="1074"/>
      <c r="G19" s="1074"/>
      <c r="H19" s="1075"/>
    </row>
    <row r="20" spans="1:8" ht="5.25" customHeight="1" thickBot="1">
      <c r="A20" s="39"/>
      <c r="B20" s="515"/>
      <c r="C20" s="41"/>
      <c r="D20" s="41"/>
      <c r="H20" s="42"/>
    </row>
    <row r="21" spans="1:8">
      <c r="A21" s="875" t="s">
        <v>49</v>
      </c>
      <c r="B21" s="43" t="s">
        <v>81</v>
      </c>
      <c r="C21" s="44" t="s">
        <v>963</v>
      </c>
      <c r="D21" s="45"/>
      <c r="E21" s="9"/>
      <c r="F21" s="9"/>
      <c r="G21" s="9"/>
      <c r="H21" s="10"/>
    </row>
    <row r="22" spans="1:8">
      <c r="A22" s="876"/>
      <c r="B22" s="670" t="s">
        <v>964</v>
      </c>
      <c r="C22" s="671" t="s">
        <v>965</v>
      </c>
      <c r="D22" s="672"/>
      <c r="E22" s="14"/>
      <c r="F22" s="14"/>
      <c r="G22" s="14"/>
      <c r="H22" s="15"/>
    </row>
    <row r="23" spans="1:8">
      <c r="A23" s="827"/>
      <c r="B23" s="25" t="s">
        <v>966</v>
      </c>
      <c r="C23" s="46" t="s">
        <v>967</v>
      </c>
      <c r="D23" s="47"/>
      <c r="E23" s="19"/>
      <c r="F23" s="19"/>
      <c r="G23" s="19"/>
      <c r="H23" s="20"/>
    </row>
    <row r="24" spans="1:8">
      <c r="A24" s="827"/>
      <c r="B24" s="25" t="s">
        <v>968</v>
      </c>
      <c r="C24" s="46"/>
      <c r="D24" s="47"/>
      <c r="E24" s="19"/>
      <c r="F24" s="19"/>
      <c r="G24" s="19"/>
      <c r="H24" s="20"/>
    </row>
    <row r="25" spans="1:8">
      <c r="A25" s="827"/>
      <c r="B25" s="25" t="s">
        <v>969</v>
      </c>
      <c r="C25" s="46"/>
      <c r="D25" s="47"/>
      <c r="E25" s="19"/>
      <c r="F25" s="19"/>
      <c r="G25" s="19"/>
      <c r="H25" s="20"/>
    </row>
    <row r="26" spans="1:8">
      <c r="A26" s="827"/>
      <c r="B26" s="25" t="s">
        <v>970</v>
      </c>
      <c r="C26" s="25"/>
      <c r="D26" s="23"/>
      <c r="E26" s="19"/>
      <c r="F26" s="19"/>
      <c r="G26" s="19"/>
      <c r="H26" s="20"/>
    </row>
    <row r="27" spans="1:8">
      <c r="A27" s="827"/>
      <c r="B27" s="25" t="s">
        <v>452</v>
      </c>
      <c r="C27" s="25"/>
      <c r="D27" s="23"/>
      <c r="E27" s="19"/>
      <c r="F27" s="19"/>
      <c r="G27" s="19"/>
      <c r="H27" s="20"/>
    </row>
    <row r="28" spans="1:8">
      <c r="A28" s="827"/>
      <c r="B28" s="25" t="s">
        <v>445</v>
      </c>
      <c r="C28" s="25"/>
      <c r="D28" s="23"/>
      <c r="E28" s="19"/>
      <c r="F28" s="19"/>
      <c r="G28" s="19"/>
      <c r="H28" s="20"/>
    </row>
    <row r="29" spans="1:8">
      <c r="A29" s="827"/>
      <c r="B29" s="25" t="s">
        <v>167</v>
      </c>
      <c r="C29" s="25"/>
      <c r="D29" s="23"/>
      <c r="E29" s="19"/>
      <c r="F29" s="19"/>
      <c r="G29" s="19"/>
      <c r="H29" s="20"/>
    </row>
    <row r="30" spans="1:8" ht="16.5" thickBot="1">
      <c r="A30" s="828"/>
      <c r="B30" s="667" t="s">
        <v>447</v>
      </c>
      <c r="C30" s="667"/>
      <c r="D30" s="48"/>
      <c r="E30" s="37"/>
      <c r="F30" s="37"/>
      <c r="G30" s="37"/>
      <c r="H30" s="38"/>
    </row>
    <row r="31" spans="1:8" ht="5.25" customHeight="1" thickBot="1">
      <c r="A31" s="39"/>
      <c r="B31" s="40"/>
      <c r="H31" s="42"/>
    </row>
    <row r="32" spans="1:8" s="5" customFormat="1">
      <c r="A32" s="875" t="s">
        <v>160</v>
      </c>
      <c r="B32" s="241" t="s">
        <v>101</v>
      </c>
      <c r="C32" s="242" t="s">
        <v>48</v>
      </c>
      <c r="D32" s="243" t="s">
        <v>125</v>
      </c>
      <c r="E32" s="243" t="s">
        <v>526</v>
      </c>
      <c r="F32" s="243" t="s">
        <v>527</v>
      </c>
      <c r="G32" s="243" t="s">
        <v>528</v>
      </c>
      <c r="H32" s="244" t="s">
        <v>454</v>
      </c>
    </row>
    <row r="33" spans="1:8">
      <c r="A33" s="827"/>
      <c r="B33" s="16"/>
      <c r="C33" s="53">
        <f>39*D33</f>
        <v>0</v>
      </c>
      <c r="D33" s="17"/>
      <c r="E33" s="54"/>
      <c r="F33" s="54"/>
      <c r="G33" s="54"/>
      <c r="H33" s="55" t="e">
        <f t="shared" ref="H33:H38" si="0">D33/$D$39</f>
        <v>#DIV/0!</v>
      </c>
    </row>
    <row r="34" spans="1:8">
      <c r="A34" s="827"/>
      <c r="B34" s="16"/>
      <c r="C34" s="53">
        <f>59*D34</f>
        <v>0</v>
      </c>
      <c r="D34" s="17"/>
      <c r="E34" s="54"/>
      <c r="F34" s="160"/>
      <c r="G34" s="54"/>
      <c r="H34" s="55" t="e">
        <f t="shared" si="0"/>
        <v>#DIV/0!</v>
      </c>
    </row>
    <row r="35" spans="1:8">
      <c r="A35" s="827"/>
      <c r="B35" s="16"/>
      <c r="C35" s="53">
        <f>59*D35</f>
        <v>0</v>
      </c>
      <c r="D35" s="17"/>
      <c r="E35" s="54"/>
      <c r="F35" s="160"/>
      <c r="G35" s="54"/>
      <c r="H35" s="55" t="e">
        <f t="shared" si="0"/>
        <v>#DIV/0!</v>
      </c>
    </row>
    <row r="36" spans="1:8">
      <c r="A36" s="827"/>
      <c r="B36" s="16"/>
      <c r="C36" s="53">
        <f>70*D36</f>
        <v>0</v>
      </c>
      <c r="D36" s="17"/>
      <c r="E36" s="54"/>
      <c r="F36" s="160"/>
      <c r="G36" s="54"/>
      <c r="H36" s="55" t="e">
        <f t="shared" si="0"/>
        <v>#DIV/0!</v>
      </c>
    </row>
    <row r="37" spans="1:8">
      <c r="A37" s="827"/>
      <c r="B37" s="16"/>
      <c r="C37" s="53">
        <f>74*D37</f>
        <v>0</v>
      </c>
      <c r="D37" s="17"/>
      <c r="E37" s="54"/>
      <c r="F37" s="160"/>
      <c r="G37" s="54"/>
      <c r="H37" s="55" t="e">
        <f t="shared" si="0"/>
        <v>#DIV/0!</v>
      </c>
    </row>
    <row r="38" spans="1:8">
      <c r="A38" s="827"/>
      <c r="B38" s="16"/>
      <c r="C38" s="53">
        <f>84*D38</f>
        <v>0</v>
      </c>
      <c r="D38" s="17"/>
      <c r="E38" s="54"/>
      <c r="F38" s="160"/>
      <c r="G38" s="54"/>
      <c r="H38" s="55" t="e">
        <f t="shared" si="0"/>
        <v>#DIV/0!</v>
      </c>
    </row>
    <row r="39" spans="1:8" ht="16.5" thickBot="1">
      <c r="A39" s="828"/>
      <c r="B39" s="56" t="s">
        <v>462</v>
      </c>
      <c r="C39" s="57">
        <f t="shared" ref="C39:H39" si="1">SUM(C33:C38)</f>
        <v>0</v>
      </c>
      <c r="D39" s="58">
        <f t="shared" si="1"/>
        <v>0</v>
      </c>
      <c r="E39" s="59">
        <f t="shared" si="1"/>
        <v>0</v>
      </c>
      <c r="F39" s="59">
        <f t="shared" si="1"/>
        <v>0</v>
      </c>
      <c r="G39" s="59">
        <f t="shared" si="1"/>
        <v>0</v>
      </c>
      <c r="H39" s="60" t="e">
        <f t="shared" si="1"/>
        <v>#DIV/0!</v>
      </c>
    </row>
    <row r="40" spans="1:8" ht="4.5" customHeight="1" thickBot="1">
      <c r="A40" s="39"/>
      <c r="B40" s="143"/>
      <c r="H40" s="42"/>
    </row>
    <row r="41" spans="1:8" s="2" customFormat="1" ht="16" customHeight="1">
      <c r="A41" s="962" t="s">
        <v>931</v>
      </c>
      <c r="B41" s="241" t="s">
        <v>101</v>
      </c>
      <c r="C41" s="243" t="s">
        <v>930</v>
      </c>
      <c r="D41" s="243" t="s">
        <v>932</v>
      </c>
      <c r="E41" s="669" t="s">
        <v>975</v>
      </c>
      <c r="F41" s="1059" t="s">
        <v>470</v>
      </c>
      <c r="G41" s="1060"/>
      <c r="H41" s="1061"/>
    </row>
    <row r="42" spans="1:8" ht="16.5" customHeight="1">
      <c r="A42" s="1071"/>
      <c r="B42" s="16"/>
      <c r="C42" s="62"/>
      <c r="D42" s="63"/>
      <c r="E42" s="661">
        <f t="shared" ref="E42:E47" si="2">D42-C42</f>
        <v>0</v>
      </c>
      <c r="F42" s="1062" t="s">
        <v>977</v>
      </c>
      <c r="G42" s="1063"/>
      <c r="H42" s="1064"/>
    </row>
    <row r="43" spans="1:8" ht="16.5" customHeight="1">
      <c r="A43" s="1071"/>
      <c r="B43" s="16"/>
      <c r="C43" s="62"/>
      <c r="D43" s="63"/>
      <c r="E43" s="661">
        <f t="shared" si="2"/>
        <v>0</v>
      </c>
      <c r="F43" s="1065"/>
      <c r="G43" s="1066"/>
      <c r="H43" s="1067"/>
    </row>
    <row r="44" spans="1:8" ht="16.5" customHeight="1">
      <c r="A44" s="1071"/>
      <c r="B44" s="16"/>
      <c r="C44" s="62"/>
      <c r="D44" s="63"/>
      <c r="E44" s="661">
        <f t="shared" si="2"/>
        <v>0</v>
      </c>
      <c r="F44" s="1065"/>
      <c r="G44" s="1066"/>
      <c r="H44" s="1067"/>
    </row>
    <row r="45" spans="1:8" ht="16.5" customHeight="1">
      <c r="A45" s="1071"/>
      <c r="B45" s="16" t="s">
        <v>929</v>
      </c>
      <c r="C45" s="62">
        <f>232000000/(4394/175760*1757.6*0.3025)</f>
        <v>17454304.705515034</v>
      </c>
      <c r="D45" s="63">
        <f>720000000/((42.5155/33133.3)*33133.3*0.3025)</f>
        <v>55983471.657541327</v>
      </c>
      <c r="E45" s="661">
        <f>(D45-C45)*(42.5155/33133.3)*33133.3*0.3025</f>
        <v>495521256.25853431</v>
      </c>
      <c r="F45" s="1065"/>
      <c r="G45" s="1066"/>
      <c r="H45" s="1067"/>
    </row>
    <row r="46" spans="1:8" ht="16.5" customHeight="1">
      <c r="A46" s="1071"/>
      <c r="B46" s="16"/>
      <c r="C46" s="62"/>
      <c r="D46" s="63"/>
      <c r="E46" s="661">
        <f t="shared" si="2"/>
        <v>0</v>
      </c>
      <c r="F46" s="1065"/>
      <c r="G46" s="1066"/>
      <c r="H46" s="1067"/>
    </row>
    <row r="47" spans="1:8" ht="16.5" customHeight="1" thickBot="1">
      <c r="A47" s="1072"/>
      <c r="B47" s="56"/>
      <c r="C47" s="64"/>
      <c r="D47" s="65"/>
      <c r="E47" s="662">
        <f t="shared" si="2"/>
        <v>0</v>
      </c>
      <c r="F47" s="1068"/>
      <c r="G47" s="1069"/>
      <c r="H47" s="1070"/>
    </row>
    <row r="48" spans="1:8" ht="5.25" customHeight="1" thickBot="1">
      <c r="A48" s="67"/>
      <c r="B48" s="515"/>
      <c r="C48" s="68"/>
      <c r="D48" s="69"/>
      <c r="E48" s="69"/>
      <c r="F48" s="69"/>
      <c r="G48" s="69"/>
    </row>
    <row r="49" spans="1:8">
      <c r="A49" s="833" t="s">
        <v>598</v>
      </c>
      <c r="B49" s="243" t="s">
        <v>599</v>
      </c>
      <c r="C49" s="242" t="s">
        <v>660</v>
      </c>
      <c r="D49" s="965" t="s">
        <v>600</v>
      </c>
      <c r="E49" s="965"/>
      <c r="F49" s="965"/>
      <c r="G49" s="965"/>
      <c r="H49" s="966"/>
    </row>
    <row r="50" spans="1:8" ht="17">
      <c r="A50" s="834"/>
      <c r="B50" s="165" t="s">
        <v>601</v>
      </c>
      <c r="C50" s="510"/>
      <c r="D50" s="617"/>
      <c r="E50" s="54"/>
      <c r="F50" s="54"/>
      <c r="G50" s="54"/>
      <c r="H50" s="31"/>
    </row>
    <row r="51" spans="1:8" ht="17">
      <c r="A51" s="834"/>
      <c r="B51" s="165" t="s">
        <v>602</v>
      </c>
      <c r="C51" s="510"/>
      <c r="D51" s="17"/>
      <c r="E51" s="54"/>
      <c r="F51" s="54"/>
      <c r="G51" s="54"/>
      <c r="H51" s="31"/>
    </row>
    <row r="52" spans="1:8">
      <c r="A52" s="834"/>
      <c r="B52" s="165" t="s">
        <v>603</v>
      </c>
      <c r="C52" s="53"/>
      <c r="D52" s="17"/>
      <c r="E52" s="54"/>
      <c r="F52" s="54"/>
      <c r="G52" s="54"/>
      <c r="H52" s="31"/>
    </row>
    <row r="53" spans="1:8">
      <c r="A53" s="834"/>
      <c r="B53" s="165" t="s">
        <v>604</v>
      </c>
      <c r="C53" s="53"/>
      <c r="D53" s="17"/>
      <c r="E53" s="54"/>
      <c r="F53" s="54"/>
      <c r="G53" s="54"/>
      <c r="H53" s="31"/>
    </row>
    <row r="54" spans="1:8">
      <c r="A54" s="834"/>
      <c r="B54" s="165" t="s">
        <v>584</v>
      </c>
      <c r="C54" s="53"/>
      <c r="D54" s="17"/>
      <c r="E54" s="54"/>
      <c r="F54" s="54"/>
      <c r="G54" s="54"/>
      <c r="H54" s="31"/>
    </row>
    <row r="55" spans="1:8">
      <c r="A55" s="834"/>
      <c r="B55" s="165" t="s">
        <v>609</v>
      </c>
      <c r="C55" s="53"/>
      <c r="D55" s="17"/>
      <c r="E55" s="54"/>
      <c r="F55" s="54"/>
      <c r="G55" s="54"/>
      <c r="H55" s="31"/>
    </row>
    <row r="56" spans="1:8">
      <c r="A56" s="834"/>
      <c r="B56" s="165" t="s">
        <v>610</v>
      </c>
      <c r="C56" s="53"/>
      <c r="D56" s="17"/>
      <c r="E56" s="54"/>
      <c r="F56" s="54"/>
      <c r="G56" s="54"/>
      <c r="H56" s="31"/>
    </row>
    <row r="57" spans="1:8">
      <c r="A57" s="834"/>
      <c r="B57" s="165" t="s">
        <v>611</v>
      </c>
      <c r="C57" s="53"/>
      <c r="D57" s="17"/>
      <c r="E57" s="54"/>
      <c r="F57" s="54"/>
      <c r="G57" s="54"/>
      <c r="H57" s="31"/>
    </row>
    <row r="58" spans="1:8">
      <c r="A58" s="834"/>
      <c r="B58" s="165" t="s">
        <v>616</v>
      </c>
      <c r="C58" s="53"/>
      <c r="D58" s="17"/>
      <c r="E58" s="54"/>
      <c r="F58" s="54"/>
      <c r="G58" s="54"/>
      <c r="H58" s="31"/>
    </row>
    <row r="59" spans="1:8">
      <c r="A59" s="834"/>
      <c r="B59" s="489" t="s">
        <v>829</v>
      </c>
      <c r="C59" s="53"/>
      <c r="D59" s="17"/>
      <c r="E59" s="54"/>
      <c r="F59" s="54"/>
      <c r="G59" s="54"/>
      <c r="H59" s="31"/>
    </row>
    <row r="60" spans="1:8">
      <c r="A60" s="834"/>
      <c r="B60" s="489" t="s">
        <v>830</v>
      </c>
      <c r="C60" s="53"/>
      <c r="D60" s="17"/>
      <c r="E60" s="54"/>
      <c r="F60" s="54"/>
      <c r="G60" s="54"/>
      <c r="H60" s="31"/>
    </row>
    <row r="61" spans="1:8">
      <c r="A61" s="834"/>
      <c r="B61" s="165" t="s">
        <v>831</v>
      </c>
      <c r="C61" s="53"/>
      <c r="D61" s="17"/>
      <c r="E61" s="54"/>
      <c r="F61" s="54"/>
      <c r="G61" s="54"/>
      <c r="H61" s="31"/>
    </row>
    <row r="62" spans="1:8" ht="17.5" thickBot="1">
      <c r="A62" s="836"/>
      <c r="B62" s="490" t="s">
        <v>832</v>
      </c>
      <c r="C62" s="494"/>
      <c r="D62" s="618"/>
      <c r="E62" s="619"/>
      <c r="F62" s="619"/>
      <c r="G62" s="619"/>
      <c r="H62" s="66"/>
    </row>
    <row r="63" spans="1:8">
      <c r="A63" s="826" t="s">
        <v>650</v>
      </c>
      <c r="B63" s="582" t="s">
        <v>971</v>
      </c>
      <c r="C63" s="565"/>
      <c r="D63" s="566"/>
      <c r="E63" s="559"/>
      <c r="F63" s="559"/>
      <c r="G63" s="559"/>
      <c r="H63" s="567"/>
    </row>
    <row r="64" spans="1:8">
      <c r="A64" s="827"/>
      <c r="B64" s="206" t="s">
        <v>972</v>
      </c>
      <c r="C64" s="78"/>
      <c r="D64" s="79"/>
      <c r="E64" s="76"/>
      <c r="F64" s="76"/>
      <c r="G64" s="76"/>
      <c r="H64" s="114"/>
    </row>
    <row r="65" spans="1:8">
      <c r="A65" s="827"/>
      <c r="B65" s="206" t="s">
        <v>973</v>
      </c>
      <c r="C65" s="78"/>
      <c r="D65" s="79"/>
      <c r="E65" s="76"/>
      <c r="F65" s="76"/>
      <c r="G65" s="76"/>
      <c r="H65" s="114"/>
    </row>
    <row r="66" spans="1:8" ht="16.5" thickBot="1">
      <c r="A66" s="828"/>
      <c r="B66" s="568" t="s">
        <v>974</v>
      </c>
      <c r="C66" s="569"/>
      <c r="D66" s="570"/>
      <c r="E66" s="571"/>
      <c r="F66" s="571"/>
      <c r="G66" s="571"/>
      <c r="H66" s="572"/>
    </row>
  </sheetData>
  <mergeCells count="16">
    <mergeCell ref="C19:H19"/>
    <mergeCell ref="A1:H1"/>
    <mergeCell ref="A2:A18"/>
    <mergeCell ref="C4:D4"/>
    <mergeCell ref="D5:E5"/>
    <mergeCell ref="G5:H5"/>
    <mergeCell ref="G6:H6"/>
    <mergeCell ref="F8:H8"/>
    <mergeCell ref="A63:A66"/>
    <mergeCell ref="A21:A30"/>
    <mergeCell ref="A32:A39"/>
    <mergeCell ref="A41:A47"/>
    <mergeCell ref="F41:H41"/>
    <mergeCell ref="F42:H47"/>
    <mergeCell ref="A49:A62"/>
    <mergeCell ref="D49:H49"/>
  </mergeCells>
  <phoneticPr fontId="16" type="noConversion"/>
  <pageMargins left="0.69972223043441772" right="0.69972223043441772" top="0.75" bottom="0.75" header="0.30000001192092896" footer="0.30000001192092896"/>
  <pageSetup paperSize="9" scale="86" orientation="portrait" horizontalDpi="4294967293" verticalDpi="4294967293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"/>
  <sheetViews>
    <sheetView showGridLines="0" topLeftCell="A46" zoomScale="85" zoomScaleNormal="85" zoomScaleSheetLayoutView="70" workbookViewId="0">
      <selection activeCell="N19" sqref="N19"/>
    </sheetView>
  </sheetViews>
  <sheetFormatPr defaultColWidth="13.4140625" defaultRowHeight="16"/>
  <cols>
    <col min="1" max="1" width="4.9140625" style="1" customWidth="1"/>
    <col min="2" max="2" width="17.5" style="2" bestFit="1" customWidth="1"/>
    <col min="3" max="3" width="21.6640625" style="3" bestFit="1" customWidth="1"/>
    <col min="4" max="4" width="22.83203125" style="4" bestFit="1" customWidth="1"/>
    <col min="5" max="5" width="21.6640625" style="1" customWidth="1"/>
    <col min="6" max="6" width="27.25" style="1" bestFit="1" customWidth="1"/>
    <col min="7" max="7" width="18.08203125" style="1" bestFit="1" customWidth="1"/>
    <col min="8" max="8" width="6.4140625" style="1" bestFit="1" customWidth="1"/>
    <col min="9" max="16384" width="13.4140625" style="1"/>
  </cols>
  <sheetData>
    <row r="1" spans="1:8" ht="31.5" customHeight="1" thickBot="1">
      <c r="A1" s="872" t="s">
        <v>978</v>
      </c>
      <c r="B1" s="873"/>
      <c r="C1" s="873"/>
      <c r="D1" s="873"/>
      <c r="E1" s="873"/>
      <c r="F1" s="873"/>
      <c r="G1" s="873"/>
      <c r="H1" s="874"/>
    </row>
    <row r="2" spans="1:8">
      <c r="A2" s="875" t="s">
        <v>112</v>
      </c>
      <c r="B2" s="6" t="s">
        <v>420</v>
      </c>
      <c r="C2" s="7" t="s">
        <v>625</v>
      </c>
      <c r="D2" s="8"/>
      <c r="E2" s="9"/>
      <c r="F2" s="9"/>
      <c r="G2" s="9"/>
      <c r="H2" s="10"/>
    </row>
    <row r="3" spans="1:8">
      <c r="A3" s="876"/>
      <c r="B3" s="11" t="s">
        <v>471</v>
      </c>
      <c r="C3" s="12" t="s">
        <v>981</v>
      </c>
      <c r="D3" s="13"/>
      <c r="E3" s="14"/>
      <c r="F3" s="14"/>
      <c r="G3" s="14"/>
      <c r="H3" s="15"/>
    </row>
    <row r="4" spans="1:8">
      <c r="A4" s="876"/>
      <c r="B4" s="11" t="s">
        <v>407</v>
      </c>
      <c r="C4" s="856" t="s">
        <v>980</v>
      </c>
      <c r="D4" s="857"/>
      <c r="E4" s="548" t="s">
        <v>644</v>
      </c>
      <c r="F4" s="529">
        <v>4500000</v>
      </c>
      <c r="G4" s="14"/>
      <c r="H4" s="15"/>
    </row>
    <row r="5" spans="1:8" ht="31.75" customHeight="1">
      <c r="A5" s="827"/>
      <c r="B5" s="16" t="s">
        <v>626</v>
      </c>
      <c r="C5" s="17">
        <v>28101</v>
      </c>
      <c r="D5" s="882" t="s">
        <v>624</v>
      </c>
      <c r="E5" s="859"/>
      <c r="F5" s="621">
        <f>C5*0.3025/C7</f>
        <v>21.79628846153846</v>
      </c>
      <c r="G5" s="858" t="s">
        <v>522</v>
      </c>
      <c r="H5" s="883"/>
    </row>
    <row r="6" spans="1:8">
      <c r="A6" s="827"/>
      <c r="B6" s="16" t="s">
        <v>425</v>
      </c>
      <c r="C6" s="17">
        <v>7</v>
      </c>
      <c r="D6" s="544" t="s">
        <v>627</v>
      </c>
      <c r="E6" s="530"/>
      <c r="F6" s="538" t="s">
        <v>628</v>
      </c>
      <c r="G6" s="884">
        <f>C5-E6</f>
        <v>28101</v>
      </c>
      <c r="H6" s="996"/>
    </row>
    <row r="7" spans="1:8">
      <c r="A7" s="827"/>
      <c r="B7" s="16" t="s">
        <v>121</v>
      </c>
      <c r="C7" s="17">
        <v>390</v>
      </c>
      <c r="D7" s="21" t="s">
        <v>39</v>
      </c>
      <c r="E7" s="251">
        <f>C7/C9</f>
        <v>0.6280193236714976</v>
      </c>
      <c r="F7" s="18"/>
      <c r="G7" s="19"/>
      <c r="H7" s="20"/>
    </row>
    <row r="8" spans="1:8">
      <c r="A8" s="827"/>
      <c r="B8" s="16" t="s">
        <v>54</v>
      </c>
      <c r="C8" s="249">
        <f>C9-C7</f>
        <v>231</v>
      </c>
      <c r="D8" s="21" t="s">
        <v>145</v>
      </c>
      <c r="E8" s="620">
        <f>C8/C9</f>
        <v>0.3719806763285024</v>
      </c>
      <c r="F8" s="863" t="s">
        <v>29</v>
      </c>
      <c r="G8" s="864"/>
      <c r="H8" s="865"/>
    </row>
    <row r="9" spans="1:8">
      <c r="A9" s="827"/>
      <c r="B9" s="16" t="s">
        <v>125</v>
      </c>
      <c r="C9" s="17">
        <v>621</v>
      </c>
      <c r="D9" s="675"/>
      <c r="E9" s="19"/>
      <c r="F9" s="19"/>
      <c r="G9" s="19"/>
      <c r="H9" s="20"/>
    </row>
    <row r="10" spans="1:8">
      <c r="A10" s="827"/>
      <c r="B10" s="16" t="s">
        <v>427</v>
      </c>
      <c r="C10" s="24">
        <v>0.193</v>
      </c>
      <c r="D10" s="551" t="s">
        <v>84</v>
      </c>
      <c r="E10" s="545">
        <f>G6*C10</f>
        <v>5423.4930000000004</v>
      </c>
      <c r="F10" s="544" t="s">
        <v>41</v>
      </c>
      <c r="G10" s="541">
        <f>E11/E10</f>
        <v>13.395336787564766</v>
      </c>
      <c r="H10" s="29"/>
    </row>
    <row r="11" spans="1:8">
      <c r="A11" s="827"/>
      <c r="B11" s="16" t="s">
        <v>466</v>
      </c>
      <c r="C11" s="24">
        <v>2.5853000000000002</v>
      </c>
      <c r="D11" s="551" t="s">
        <v>631</v>
      </c>
      <c r="E11" s="546">
        <f>G6*C11</f>
        <v>72649.515299999999</v>
      </c>
      <c r="F11" s="544" t="s">
        <v>209</v>
      </c>
      <c r="G11" s="541">
        <f>E11*76%</f>
        <v>55213.631628000003</v>
      </c>
      <c r="H11" s="31"/>
    </row>
    <row r="12" spans="1:8" ht="32">
      <c r="A12" s="827"/>
      <c r="B12" s="16" t="s">
        <v>208</v>
      </c>
      <c r="C12" s="588" t="s">
        <v>985</v>
      </c>
      <c r="D12" s="550" t="s">
        <v>629</v>
      </c>
      <c r="E12" s="529" t="s">
        <v>625</v>
      </c>
      <c r="F12" s="542" t="s">
        <v>234</v>
      </c>
      <c r="G12" s="543" t="e">
        <f>G11/C37</f>
        <v>#DIV/0!</v>
      </c>
      <c r="H12" s="55"/>
    </row>
    <row r="13" spans="1:8">
      <c r="A13" s="827"/>
      <c r="B13" s="16" t="s">
        <v>441</v>
      </c>
      <c r="C13" s="25" t="s">
        <v>625</v>
      </c>
      <c r="D13" s="544" t="s">
        <v>630</v>
      </c>
      <c r="E13" s="547" t="e">
        <f>C7*E12</f>
        <v>#VALUE!</v>
      </c>
      <c r="F13" s="540" t="s">
        <v>632</v>
      </c>
      <c r="G13" s="541">
        <f>E11*0.3025/F5</f>
        <v>1008.2670000000001</v>
      </c>
      <c r="H13" s="20"/>
    </row>
    <row r="14" spans="1:8">
      <c r="A14" s="827"/>
      <c r="B14" s="32" t="s">
        <v>641</v>
      </c>
      <c r="C14" s="33" t="s">
        <v>625</v>
      </c>
      <c r="D14" s="549" t="s">
        <v>633</v>
      </c>
      <c r="E14" s="530" t="s">
        <v>625</v>
      </c>
      <c r="F14" s="538" t="s">
        <v>645</v>
      </c>
      <c r="G14" s="539" t="e">
        <f>E14*G13</f>
        <v>#VALUE!</v>
      </c>
      <c r="H14" s="20"/>
    </row>
    <row r="15" spans="1:8" ht="3.65" customHeight="1" thickBot="1">
      <c r="A15" s="827"/>
      <c r="B15" s="516"/>
      <c r="C15" s="517"/>
      <c r="D15" s="518"/>
      <c r="E15" s="155"/>
      <c r="F15" s="514"/>
      <c r="G15" s="519"/>
      <c r="H15" s="156"/>
    </row>
    <row r="16" spans="1:8" ht="16.5" thickTop="1">
      <c r="A16" s="877"/>
      <c r="B16" s="520" t="s">
        <v>635</v>
      </c>
      <c r="C16" s="656" t="e">
        <f>E16+G16</f>
        <v>#VALUE!</v>
      </c>
      <c r="D16" s="522" t="s">
        <v>643</v>
      </c>
      <c r="E16" s="657" t="e">
        <f>G14*F4</f>
        <v>#VALUE!</v>
      </c>
      <c r="F16" s="524" t="s">
        <v>634</v>
      </c>
      <c r="G16" s="657" t="e">
        <f>E16*30%</f>
        <v>#VALUE!</v>
      </c>
      <c r="H16" s="525"/>
    </row>
    <row r="17" spans="1:8">
      <c r="A17" s="877"/>
      <c r="B17" s="526" t="s">
        <v>638</v>
      </c>
      <c r="C17" s="658" t="e">
        <f>(E17*C7)+(G17*C8)</f>
        <v>#VALUE!</v>
      </c>
      <c r="D17" s="528" t="s">
        <v>636</v>
      </c>
      <c r="E17" s="529" t="s">
        <v>625</v>
      </c>
      <c r="F17" s="530" t="s">
        <v>637</v>
      </c>
      <c r="G17" s="529" t="s">
        <v>625</v>
      </c>
      <c r="H17" s="531"/>
    </row>
    <row r="18" spans="1:8" ht="32.5" thickBot="1">
      <c r="A18" s="877"/>
      <c r="B18" s="532" t="s">
        <v>642</v>
      </c>
      <c r="C18" s="659" t="e">
        <f>E18/E13</f>
        <v>#VALUE!</v>
      </c>
      <c r="D18" s="534" t="s">
        <v>639</v>
      </c>
      <c r="E18" s="660" t="e">
        <f>C17-C16</f>
        <v>#VALUE!</v>
      </c>
      <c r="F18" s="536" t="s">
        <v>640</v>
      </c>
      <c r="G18" s="660" t="e">
        <f>E18/C7</f>
        <v>#VALUE!</v>
      </c>
      <c r="H18" s="537"/>
    </row>
    <row r="19" spans="1:8" ht="60.5" customHeight="1" thickTop="1" thickBot="1">
      <c r="A19" s="673"/>
      <c r="B19" s="655" t="s">
        <v>919</v>
      </c>
      <c r="C19" s="1073" t="s">
        <v>991</v>
      </c>
      <c r="D19" s="1074"/>
      <c r="E19" s="1074"/>
      <c r="F19" s="1074"/>
      <c r="G19" s="1074"/>
      <c r="H19" s="1075"/>
    </row>
    <row r="20" spans="1:8" ht="5.25" customHeight="1" thickBot="1">
      <c r="A20" s="39"/>
      <c r="B20" s="515"/>
      <c r="C20" s="41"/>
      <c r="D20" s="41"/>
      <c r="H20" s="42"/>
    </row>
    <row r="21" spans="1:8">
      <c r="A21" s="875" t="s">
        <v>49</v>
      </c>
      <c r="B21" s="43" t="s">
        <v>81</v>
      </c>
      <c r="C21" s="44" t="s">
        <v>982</v>
      </c>
      <c r="D21" s="45"/>
      <c r="E21" s="9"/>
      <c r="F21" s="9"/>
      <c r="G21" s="9"/>
      <c r="H21" s="10"/>
    </row>
    <row r="22" spans="1:8" ht="48">
      <c r="A22" s="827"/>
      <c r="B22" s="677" t="s">
        <v>983</v>
      </c>
      <c r="C22" s="46" t="s">
        <v>984</v>
      </c>
      <c r="D22" s="47"/>
      <c r="E22" s="19"/>
      <c r="F22" s="19"/>
      <c r="G22" s="19"/>
      <c r="H22" s="20"/>
    </row>
    <row r="23" spans="1:8">
      <c r="A23" s="827"/>
      <c r="B23" s="25" t="s">
        <v>969</v>
      </c>
      <c r="C23" s="46"/>
      <c r="D23" s="47"/>
      <c r="E23" s="19"/>
      <c r="F23" s="19"/>
      <c r="G23" s="19"/>
      <c r="H23" s="20"/>
    </row>
    <row r="24" spans="1:8">
      <c r="A24" s="827"/>
      <c r="B24" s="25" t="s">
        <v>970</v>
      </c>
      <c r="C24" s="25"/>
      <c r="D24" s="23"/>
      <c r="E24" s="19"/>
      <c r="F24" s="19"/>
      <c r="G24" s="19"/>
      <c r="H24" s="20"/>
    </row>
    <row r="25" spans="1:8">
      <c r="A25" s="827"/>
      <c r="B25" s="25" t="s">
        <v>452</v>
      </c>
      <c r="C25" s="25"/>
      <c r="D25" s="23"/>
      <c r="E25" s="19"/>
      <c r="F25" s="19"/>
      <c r="G25" s="19"/>
      <c r="H25" s="20"/>
    </row>
    <row r="26" spans="1:8">
      <c r="A26" s="827"/>
      <c r="B26" s="25" t="s">
        <v>445</v>
      </c>
      <c r="C26" s="25"/>
      <c r="D26" s="23"/>
      <c r="E26" s="19"/>
      <c r="F26" s="19"/>
      <c r="G26" s="19"/>
      <c r="H26" s="20"/>
    </row>
    <row r="27" spans="1:8">
      <c r="A27" s="827"/>
      <c r="B27" s="25" t="s">
        <v>167</v>
      </c>
      <c r="C27" s="25"/>
      <c r="D27" s="23"/>
      <c r="E27" s="19"/>
      <c r="F27" s="19"/>
      <c r="G27" s="19"/>
      <c r="H27" s="20"/>
    </row>
    <row r="28" spans="1:8" ht="16.5" thickBot="1">
      <c r="A28" s="828"/>
      <c r="B28" s="674" t="s">
        <v>447</v>
      </c>
      <c r="C28" s="674"/>
      <c r="D28" s="48"/>
      <c r="E28" s="37"/>
      <c r="F28" s="37"/>
      <c r="G28" s="37"/>
      <c r="H28" s="38"/>
    </row>
    <row r="29" spans="1:8" ht="5.25" customHeight="1" thickBot="1">
      <c r="A29" s="39"/>
      <c r="B29" s="40"/>
      <c r="H29" s="42"/>
    </row>
    <row r="30" spans="1:8" s="5" customFormat="1">
      <c r="A30" s="875" t="s">
        <v>160</v>
      </c>
      <c r="B30" s="241" t="s">
        <v>101</v>
      </c>
      <c r="C30" s="242" t="s">
        <v>48</v>
      </c>
      <c r="D30" s="243" t="s">
        <v>125</v>
      </c>
      <c r="E30" s="243" t="s">
        <v>526</v>
      </c>
      <c r="F30" s="243" t="s">
        <v>527</v>
      </c>
      <c r="G30" s="243" t="s">
        <v>528</v>
      </c>
      <c r="H30" s="244" t="s">
        <v>454</v>
      </c>
    </row>
    <row r="31" spans="1:8">
      <c r="A31" s="827"/>
      <c r="B31" s="16"/>
      <c r="C31" s="53">
        <f>39*D31</f>
        <v>0</v>
      </c>
      <c r="D31" s="17"/>
      <c r="E31" s="54"/>
      <c r="F31" s="54"/>
      <c r="G31" s="54"/>
      <c r="H31" s="55" t="e">
        <f t="shared" ref="H31:H36" si="0">D31/$D$37</f>
        <v>#DIV/0!</v>
      </c>
    </row>
    <row r="32" spans="1:8">
      <c r="A32" s="827"/>
      <c r="B32" s="16"/>
      <c r="C32" s="53">
        <f>59*D32</f>
        <v>0</v>
      </c>
      <c r="D32" s="17"/>
      <c r="E32" s="54"/>
      <c r="F32" s="160"/>
      <c r="G32" s="54"/>
      <c r="H32" s="55" t="e">
        <f t="shared" si="0"/>
        <v>#DIV/0!</v>
      </c>
    </row>
    <row r="33" spans="1:8">
      <c r="A33" s="827"/>
      <c r="B33" s="16"/>
      <c r="C33" s="53">
        <f>59*D33</f>
        <v>0</v>
      </c>
      <c r="D33" s="17"/>
      <c r="E33" s="54"/>
      <c r="F33" s="160"/>
      <c r="G33" s="54"/>
      <c r="H33" s="55" t="e">
        <f t="shared" si="0"/>
        <v>#DIV/0!</v>
      </c>
    </row>
    <row r="34" spans="1:8">
      <c r="A34" s="827"/>
      <c r="B34" s="16"/>
      <c r="C34" s="53">
        <f>70*D34</f>
        <v>0</v>
      </c>
      <c r="D34" s="17"/>
      <c r="E34" s="54"/>
      <c r="F34" s="160"/>
      <c r="G34" s="54"/>
      <c r="H34" s="55" t="e">
        <f t="shared" si="0"/>
        <v>#DIV/0!</v>
      </c>
    </row>
    <row r="35" spans="1:8">
      <c r="A35" s="827"/>
      <c r="B35" s="16"/>
      <c r="C35" s="53">
        <f>74*D35</f>
        <v>0</v>
      </c>
      <c r="D35" s="17"/>
      <c r="E35" s="54"/>
      <c r="F35" s="160"/>
      <c r="G35" s="54"/>
      <c r="H35" s="55" t="e">
        <f t="shared" si="0"/>
        <v>#DIV/0!</v>
      </c>
    </row>
    <row r="36" spans="1:8">
      <c r="A36" s="827"/>
      <c r="B36" s="16"/>
      <c r="C36" s="53">
        <f>84*D36</f>
        <v>0</v>
      </c>
      <c r="D36" s="17"/>
      <c r="E36" s="54"/>
      <c r="F36" s="160"/>
      <c r="G36" s="54"/>
      <c r="H36" s="55" t="e">
        <f t="shared" si="0"/>
        <v>#DIV/0!</v>
      </c>
    </row>
    <row r="37" spans="1:8" ht="16.5" thickBot="1">
      <c r="A37" s="828"/>
      <c r="B37" s="56" t="s">
        <v>462</v>
      </c>
      <c r="C37" s="57">
        <f t="shared" ref="C37:H37" si="1">SUM(C31:C36)</f>
        <v>0</v>
      </c>
      <c r="D37" s="58">
        <f t="shared" si="1"/>
        <v>0</v>
      </c>
      <c r="E37" s="59">
        <f t="shared" si="1"/>
        <v>0</v>
      </c>
      <c r="F37" s="59">
        <f t="shared" si="1"/>
        <v>0</v>
      </c>
      <c r="G37" s="59">
        <f t="shared" si="1"/>
        <v>0</v>
      </c>
      <c r="H37" s="60" t="e">
        <f t="shared" si="1"/>
        <v>#DIV/0!</v>
      </c>
    </row>
    <row r="38" spans="1:8" ht="4.5" customHeight="1" thickBot="1">
      <c r="A38" s="39"/>
      <c r="B38" s="143"/>
      <c r="H38" s="42"/>
    </row>
    <row r="39" spans="1:8" s="2" customFormat="1" ht="16" customHeight="1">
      <c r="A39" s="962" t="s">
        <v>931</v>
      </c>
      <c r="B39" s="241" t="s">
        <v>101</v>
      </c>
      <c r="C39" s="243" t="s">
        <v>930</v>
      </c>
      <c r="D39" s="243" t="s">
        <v>932</v>
      </c>
      <c r="E39" s="676" t="s">
        <v>933</v>
      </c>
      <c r="F39" s="1059" t="s">
        <v>470</v>
      </c>
      <c r="G39" s="1060"/>
      <c r="H39" s="1061"/>
    </row>
    <row r="40" spans="1:8" ht="16.5" customHeight="1">
      <c r="A40" s="1071"/>
      <c r="B40" s="16"/>
      <c r="C40" s="62"/>
      <c r="D40" s="63"/>
      <c r="E40" s="661">
        <f t="shared" ref="E40:E45" si="2">D40-C40</f>
        <v>0</v>
      </c>
      <c r="F40" s="1062" t="s">
        <v>986</v>
      </c>
      <c r="G40" s="1063"/>
      <c r="H40" s="1064"/>
    </row>
    <row r="41" spans="1:8" ht="16.5" customHeight="1">
      <c r="A41" s="1071"/>
      <c r="B41" s="16"/>
      <c r="C41" s="62"/>
      <c r="D41" s="63"/>
      <c r="E41" s="661">
        <f t="shared" si="2"/>
        <v>0</v>
      </c>
      <c r="F41" s="1065"/>
      <c r="G41" s="1066"/>
      <c r="H41" s="1067"/>
    </row>
    <row r="42" spans="1:8" ht="16.5" customHeight="1">
      <c r="A42" s="1071"/>
      <c r="B42" s="16"/>
      <c r="C42" s="62"/>
      <c r="D42" s="63"/>
      <c r="E42" s="661">
        <f t="shared" si="2"/>
        <v>0</v>
      </c>
      <c r="F42" s="1065"/>
      <c r="G42" s="1066"/>
      <c r="H42" s="1067"/>
    </row>
    <row r="43" spans="1:8" ht="16.5" customHeight="1">
      <c r="A43" s="1071"/>
      <c r="B43" s="16" t="s">
        <v>929</v>
      </c>
      <c r="C43" s="62">
        <f>340000000/(8000/341820*3418.2*0.3025)</f>
        <v>14049586.776859505</v>
      </c>
      <c r="D43" s="63">
        <f>550000000/((42.2617/24143.5)*24143.5*0.3025)</f>
        <v>43021975.409929521</v>
      </c>
      <c r="E43" s="661">
        <f>(D43-C43)*(42.2617/24143.5)*24143.5*0.3025</f>
        <v>370387775.00000006</v>
      </c>
      <c r="F43" s="1065"/>
      <c r="G43" s="1066"/>
      <c r="H43" s="1067"/>
    </row>
    <row r="44" spans="1:8" ht="16.5" customHeight="1">
      <c r="A44" s="1071"/>
      <c r="B44" s="16"/>
      <c r="C44" s="62"/>
      <c r="D44" s="63"/>
      <c r="E44" s="661">
        <f t="shared" si="2"/>
        <v>0</v>
      </c>
      <c r="F44" s="1065"/>
      <c r="G44" s="1066"/>
      <c r="H44" s="1067"/>
    </row>
    <row r="45" spans="1:8" ht="16.5" customHeight="1" thickBot="1">
      <c r="A45" s="1072"/>
      <c r="B45" s="56"/>
      <c r="C45" s="64"/>
      <c r="D45" s="65"/>
      <c r="E45" s="662">
        <f t="shared" si="2"/>
        <v>0</v>
      </c>
      <c r="F45" s="1068"/>
      <c r="G45" s="1069"/>
      <c r="H45" s="1070"/>
    </row>
    <row r="46" spans="1:8" ht="5.25" customHeight="1" thickBot="1">
      <c r="A46" s="67"/>
      <c r="B46" s="515"/>
      <c r="C46" s="68"/>
      <c r="D46" s="69"/>
      <c r="E46" s="69"/>
      <c r="F46" s="69"/>
      <c r="G46" s="69"/>
    </row>
    <row r="47" spans="1:8">
      <c r="A47" s="833" t="s">
        <v>598</v>
      </c>
      <c r="B47" s="243" t="s">
        <v>599</v>
      </c>
      <c r="C47" s="242" t="s">
        <v>660</v>
      </c>
      <c r="D47" s="965" t="s">
        <v>600</v>
      </c>
      <c r="E47" s="965"/>
      <c r="F47" s="965"/>
      <c r="G47" s="965"/>
      <c r="H47" s="966"/>
    </row>
    <row r="48" spans="1:8" ht="17">
      <c r="A48" s="834"/>
      <c r="B48" s="165" t="s">
        <v>601</v>
      </c>
      <c r="C48" s="510"/>
      <c r="D48" s="617"/>
      <c r="E48" s="54"/>
      <c r="F48" s="54"/>
      <c r="G48" s="54"/>
      <c r="H48" s="31"/>
    </row>
    <row r="49" spans="1:8" ht="17">
      <c r="A49" s="834"/>
      <c r="B49" s="165" t="s">
        <v>602</v>
      </c>
      <c r="C49" s="510"/>
      <c r="D49" s="17"/>
      <c r="E49" s="54"/>
      <c r="F49" s="54"/>
      <c r="G49" s="54"/>
      <c r="H49" s="31"/>
    </row>
    <row r="50" spans="1:8">
      <c r="A50" s="834"/>
      <c r="B50" s="165" t="s">
        <v>603</v>
      </c>
      <c r="C50" s="53"/>
      <c r="D50" s="17"/>
      <c r="E50" s="54"/>
      <c r="F50" s="54"/>
      <c r="G50" s="54"/>
      <c r="H50" s="31"/>
    </row>
    <row r="51" spans="1:8">
      <c r="A51" s="834"/>
      <c r="B51" s="165" t="s">
        <v>604</v>
      </c>
      <c r="C51" s="53"/>
      <c r="D51" s="17"/>
      <c r="E51" s="54"/>
      <c r="F51" s="54"/>
      <c r="G51" s="54"/>
      <c r="H51" s="31"/>
    </row>
    <row r="52" spans="1:8">
      <c r="A52" s="834"/>
      <c r="B52" s="165" t="s">
        <v>584</v>
      </c>
      <c r="C52" s="53"/>
      <c r="D52" s="17"/>
      <c r="E52" s="54"/>
      <c r="F52" s="54"/>
      <c r="G52" s="54"/>
      <c r="H52" s="31"/>
    </row>
    <row r="53" spans="1:8">
      <c r="A53" s="834"/>
      <c r="B53" s="165" t="s">
        <v>609</v>
      </c>
      <c r="C53" s="53"/>
      <c r="D53" s="17"/>
      <c r="E53" s="54"/>
      <c r="F53" s="54"/>
      <c r="G53" s="54"/>
      <c r="H53" s="31"/>
    </row>
    <row r="54" spans="1:8">
      <c r="A54" s="834"/>
      <c r="B54" s="165" t="s">
        <v>610</v>
      </c>
      <c r="C54" s="53"/>
      <c r="D54" s="17"/>
      <c r="E54" s="54"/>
      <c r="F54" s="54"/>
      <c r="G54" s="54"/>
      <c r="H54" s="31"/>
    </row>
    <row r="55" spans="1:8">
      <c r="A55" s="834"/>
      <c r="B55" s="165" t="s">
        <v>611</v>
      </c>
      <c r="C55" s="53"/>
      <c r="D55" s="17"/>
      <c r="E55" s="54"/>
      <c r="F55" s="54"/>
      <c r="G55" s="54"/>
      <c r="H55" s="31"/>
    </row>
    <row r="56" spans="1:8">
      <c r="A56" s="834"/>
      <c r="B56" s="165" t="s">
        <v>616</v>
      </c>
      <c r="C56" s="53"/>
      <c r="D56" s="17"/>
      <c r="E56" s="54"/>
      <c r="F56" s="54"/>
      <c r="G56" s="54"/>
      <c r="H56" s="31"/>
    </row>
    <row r="57" spans="1:8">
      <c r="A57" s="834"/>
      <c r="B57" s="489" t="s">
        <v>829</v>
      </c>
      <c r="C57" s="53"/>
      <c r="D57" s="17"/>
      <c r="E57" s="54"/>
      <c r="F57" s="54"/>
      <c r="G57" s="54"/>
      <c r="H57" s="31"/>
    </row>
    <row r="58" spans="1:8">
      <c r="A58" s="834"/>
      <c r="B58" s="489" t="s">
        <v>830</v>
      </c>
      <c r="C58" s="53"/>
      <c r="D58" s="17"/>
      <c r="E58" s="54"/>
      <c r="F58" s="54"/>
      <c r="G58" s="54"/>
      <c r="H58" s="31"/>
    </row>
    <row r="59" spans="1:8">
      <c r="A59" s="834"/>
      <c r="B59" s="165" t="s">
        <v>831</v>
      </c>
      <c r="C59" s="53"/>
      <c r="D59" s="17"/>
      <c r="E59" s="54"/>
      <c r="F59" s="54"/>
      <c r="G59" s="54"/>
      <c r="H59" s="31"/>
    </row>
    <row r="60" spans="1:8" ht="17.5" thickBot="1">
      <c r="A60" s="836"/>
      <c r="B60" s="490" t="s">
        <v>832</v>
      </c>
      <c r="C60" s="494"/>
      <c r="D60" s="618"/>
      <c r="E60" s="619"/>
      <c r="F60" s="619"/>
      <c r="G60" s="619"/>
      <c r="H60" s="66"/>
    </row>
    <row r="61" spans="1:8">
      <c r="A61" s="826" t="s">
        <v>650</v>
      </c>
      <c r="B61" s="582" t="s">
        <v>992</v>
      </c>
      <c r="C61" s="565"/>
      <c r="D61" s="566"/>
      <c r="E61" s="559"/>
      <c r="F61" s="559"/>
      <c r="G61" s="559"/>
      <c r="H61" s="567"/>
    </row>
    <row r="62" spans="1:8">
      <c r="A62" s="827"/>
      <c r="B62" s="206" t="s">
        <v>987</v>
      </c>
      <c r="C62" s="78"/>
      <c r="D62" s="79"/>
      <c r="E62" s="76"/>
      <c r="F62" s="76"/>
      <c r="G62" s="76"/>
      <c r="H62" s="114"/>
    </row>
    <row r="63" spans="1:8">
      <c r="A63" s="827"/>
      <c r="B63" s="206" t="s">
        <v>988</v>
      </c>
      <c r="C63" s="78"/>
      <c r="D63" s="79"/>
      <c r="E63" s="76"/>
      <c r="F63" s="76"/>
      <c r="G63" s="76"/>
      <c r="H63" s="114"/>
    </row>
    <row r="64" spans="1:8">
      <c r="A64" s="827"/>
      <c r="B64" s="206" t="s">
        <v>989</v>
      </c>
      <c r="C64" s="78"/>
      <c r="D64" s="79"/>
      <c r="E64" s="76"/>
      <c r="F64" s="76"/>
      <c r="G64" s="76"/>
      <c r="H64" s="114"/>
    </row>
    <row r="65" spans="1:8" ht="16.5" thickBot="1">
      <c r="A65" s="828"/>
      <c r="B65" s="568" t="s">
        <v>990</v>
      </c>
      <c r="C65" s="569"/>
      <c r="D65" s="570"/>
      <c r="E65" s="571"/>
      <c r="F65" s="571"/>
      <c r="G65" s="571"/>
      <c r="H65" s="572"/>
    </row>
  </sheetData>
  <mergeCells count="16">
    <mergeCell ref="A1:H1"/>
    <mergeCell ref="A2:A18"/>
    <mergeCell ref="C4:D4"/>
    <mergeCell ref="D5:E5"/>
    <mergeCell ref="G5:H5"/>
    <mergeCell ref="G6:H6"/>
    <mergeCell ref="F8:H8"/>
    <mergeCell ref="A47:A60"/>
    <mergeCell ref="D47:H47"/>
    <mergeCell ref="A61:A65"/>
    <mergeCell ref="C19:H19"/>
    <mergeCell ref="A21:A28"/>
    <mergeCell ref="A30:A37"/>
    <mergeCell ref="A39:A45"/>
    <mergeCell ref="F39:H39"/>
    <mergeCell ref="F40:H45"/>
  </mergeCells>
  <phoneticPr fontId="16" type="noConversion"/>
  <pageMargins left="0.69972223043441772" right="0.69972223043441772" top="0.75" bottom="0.75" header="0.30000001192092896" footer="0.30000001192092896"/>
  <pageSetup paperSize="9" scale="86" orientation="portrait" horizontalDpi="4294967293" verticalDpi="4294967293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showGridLines="0" zoomScale="85" zoomScaleNormal="85" zoomScaleSheetLayoutView="70" workbookViewId="0">
      <selection activeCell="J42" sqref="J42"/>
    </sheetView>
  </sheetViews>
  <sheetFormatPr defaultColWidth="13.4140625" defaultRowHeight="16"/>
  <cols>
    <col min="1" max="1" width="4.9140625" style="1" customWidth="1"/>
    <col min="2" max="2" width="17.5" style="2" bestFit="1" customWidth="1"/>
    <col min="3" max="3" width="21.6640625" style="3" bestFit="1" customWidth="1"/>
    <col min="4" max="4" width="22.83203125" style="4" bestFit="1" customWidth="1"/>
    <col min="5" max="5" width="21.6640625" style="1" customWidth="1"/>
    <col min="6" max="6" width="27.25" style="1" bestFit="1" customWidth="1"/>
    <col min="7" max="7" width="18.08203125" style="1" bestFit="1" customWidth="1"/>
    <col min="8" max="8" width="6.4140625" style="1" bestFit="1" customWidth="1"/>
    <col min="9" max="16384" width="13.4140625" style="1"/>
  </cols>
  <sheetData>
    <row r="1" spans="1:8" ht="31.5" customHeight="1" thickBot="1">
      <c r="A1" s="872" t="s">
        <v>993</v>
      </c>
      <c r="B1" s="873"/>
      <c r="C1" s="873"/>
      <c r="D1" s="873"/>
      <c r="E1" s="873"/>
      <c r="F1" s="873"/>
      <c r="G1" s="873"/>
      <c r="H1" s="874"/>
    </row>
    <row r="2" spans="1:8">
      <c r="A2" s="875" t="s">
        <v>112</v>
      </c>
      <c r="B2" s="6" t="s">
        <v>420</v>
      </c>
      <c r="C2" s="7" t="s">
        <v>1014</v>
      </c>
      <c r="D2" s="8"/>
      <c r="E2" s="9"/>
      <c r="F2" s="9"/>
      <c r="G2" s="9"/>
      <c r="H2" s="10"/>
    </row>
    <row r="3" spans="1:8">
      <c r="A3" s="876"/>
      <c r="B3" s="11" t="s">
        <v>471</v>
      </c>
      <c r="C3" s="12" t="s">
        <v>994</v>
      </c>
      <c r="D3" s="13"/>
      <c r="E3" s="14"/>
      <c r="F3" s="14"/>
      <c r="G3" s="14"/>
      <c r="H3" s="15"/>
    </row>
    <row r="4" spans="1:8">
      <c r="A4" s="876"/>
      <c r="B4" s="11" t="s">
        <v>407</v>
      </c>
      <c r="C4" s="856" t="s">
        <v>995</v>
      </c>
      <c r="D4" s="857"/>
      <c r="E4" s="548" t="s">
        <v>644</v>
      </c>
      <c r="F4" s="529">
        <v>4500000</v>
      </c>
      <c r="G4" s="14"/>
      <c r="H4" s="15"/>
    </row>
    <row r="5" spans="1:8" ht="31.75" customHeight="1">
      <c r="A5" s="827"/>
      <c r="B5" s="16" t="s">
        <v>626</v>
      </c>
      <c r="C5" s="17">
        <v>52839</v>
      </c>
      <c r="D5" s="882" t="s">
        <v>624</v>
      </c>
      <c r="E5" s="859"/>
      <c r="F5" s="621">
        <f>C5*0.3025/C7</f>
        <v>22.230594575799721</v>
      </c>
      <c r="G5" s="858" t="s">
        <v>522</v>
      </c>
      <c r="H5" s="883"/>
    </row>
    <row r="6" spans="1:8">
      <c r="A6" s="827"/>
      <c r="B6" s="16" t="s">
        <v>425</v>
      </c>
      <c r="C6" s="17">
        <v>10</v>
      </c>
      <c r="D6" s="544" t="s">
        <v>627</v>
      </c>
      <c r="E6" s="530"/>
      <c r="F6" s="538" t="s">
        <v>628</v>
      </c>
      <c r="G6" s="884">
        <f>C5-E6</f>
        <v>52839</v>
      </c>
      <c r="H6" s="996"/>
    </row>
    <row r="7" spans="1:8">
      <c r="A7" s="827"/>
      <c r="B7" s="16" t="s">
        <v>121</v>
      </c>
      <c r="C7" s="17">
        <v>719</v>
      </c>
      <c r="D7" s="21" t="s">
        <v>39</v>
      </c>
      <c r="E7" s="251">
        <f>C7/C9</f>
        <v>0.65963302752293573</v>
      </c>
      <c r="F7" s="18"/>
      <c r="G7" s="19"/>
      <c r="H7" s="20"/>
    </row>
    <row r="8" spans="1:8">
      <c r="A8" s="827"/>
      <c r="B8" s="16" t="s">
        <v>54</v>
      </c>
      <c r="C8" s="249">
        <f>C9-C7</f>
        <v>371</v>
      </c>
      <c r="D8" s="21" t="s">
        <v>145</v>
      </c>
      <c r="E8" s="620">
        <f>C8/C9</f>
        <v>0.34036697247706421</v>
      </c>
      <c r="F8" s="863" t="s">
        <v>29</v>
      </c>
      <c r="G8" s="864"/>
      <c r="H8" s="865"/>
    </row>
    <row r="9" spans="1:8">
      <c r="A9" s="827"/>
      <c r="B9" s="16" t="s">
        <v>125</v>
      </c>
      <c r="C9" s="17">
        <v>1090</v>
      </c>
      <c r="D9" s="680"/>
      <c r="E9" s="19"/>
      <c r="F9" s="19"/>
      <c r="G9" s="19"/>
      <c r="H9" s="20"/>
    </row>
    <row r="10" spans="1:8">
      <c r="A10" s="827"/>
      <c r="B10" s="16" t="s">
        <v>427</v>
      </c>
      <c r="C10" s="24">
        <v>0.1638</v>
      </c>
      <c r="D10" s="551" t="s">
        <v>84</v>
      </c>
      <c r="E10" s="545">
        <f>G6*C10</f>
        <v>8655.0282000000007</v>
      </c>
      <c r="F10" s="544" t="s">
        <v>41</v>
      </c>
      <c r="G10" s="541">
        <f>E11/E10</f>
        <v>16.300366300366299</v>
      </c>
      <c r="H10" s="29"/>
    </row>
    <row r="11" spans="1:8">
      <c r="A11" s="827"/>
      <c r="B11" s="16" t="s">
        <v>466</v>
      </c>
      <c r="C11" s="24">
        <v>2.67</v>
      </c>
      <c r="D11" s="551" t="s">
        <v>631</v>
      </c>
      <c r="E11" s="546">
        <f>G6*C11</f>
        <v>141080.13</v>
      </c>
      <c r="F11" s="544" t="s">
        <v>209</v>
      </c>
      <c r="G11" s="541">
        <f>E11*76%</f>
        <v>107220.89880000001</v>
      </c>
      <c r="H11" s="31"/>
    </row>
    <row r="12" spans="1:8" ht="32">
      <c r="A12" s="827"/>
      <c r="B12" s="16" t="s">
        <v>208</v>
      </c>
      <c r="C12" s="588" t="s">
        <v>996</v>
      </c>
      <c r="D12" s="550" t="s">
        <v>629</v>
      </c>
      <c r="E12" s="529" t="s">
        <v>625</v>
      </c>
      <c r="F12" s="542" t="s">
        <v>234</v>
      </c>
      <c r="G12" s="543" t="e">
        <f>G11/C37</f>
        <v>#DIV/0!</v>
      </c>
      <c r="H12" s="55"/>
    </row>
    <row r="13" spans="1:8">
      <c r="A13" s="827"/>
      <c r="B13" s="16" t="s">
        <v>441</v>
      </c>
      <c r="C13" s="25" t="s">
        <v>997</v>
      </c>
      <c r="D13" s="544" t="s">
        <v>630</v>
      </c>
      <c r="E13" s="547" t="e">
        <f>C7*E12</f>
        <v>#VALUE!</v>
      </c>
      <c r="F13" s="540" t="s">
        <v>632</v>
      </c>
      <c r="G13" s="541">
        <f>E11*0.3025/F5</f>
        <v>1919.7300000000002</v>
      </c>
      <c r="H13" s="20"/>
    </row>
    <row r="14" spans="1:8">
      <c r="A14" s="827"/>
      <c r="B14" s="32" t="s">
        <v>641</v>
      </c>
      <c r="C14" s="33" t="s">
        <v>625</v>
      </c>
      <c r="D14" s="549" t="s">
        <v>633</v>
      </c>
      <c r="E14" s="530" t="s">
        <v>625</v>
      </c>
      <c r="F14" s="538" t="s">
        <v>645</v>
      </c>
      <c r="G14" s="539" t="e">
        <f>E14*G13</f>
        <v>#VALUE!</v>
      </c>
      <c r="H14" s="20"/>
    </row>
    <row r="15" spans="1:8" ht="3.65" customHeight="1" thickBot="1">
      <c r="A15" s="827"/>
      <c r="B15" s="516"/>
      <c r="C15" s="517"/>
      <c r="D15" s="518"/>
      <c r="E15" s="155"/>
      <c r="F15" s="514"/>
      <c r="G15" s="519"/>
      <c r="H15" s="156"/>
    </row>
    <row r="16" spans="1:8" ht="16.5" thickTop="1">
      <c r="A16" s="877"/>
      <c r="B16" s="520" t="s">
        <v>635</v>
      </c>
      <c r="C16" s="656" t="e">
        <f>E16+G16</f>
        <v>#VALUE!</v>
      </c>
      <c r="D16" s="522" t="s">
        <v>643</v>
      </c>
      <c r="E16" s="657" t="e">
        <f>G14*F4</f>
        <v>#VALUE!</v>
      </c>
      <c r="F16" s="524" t="s">
        <v>634</v>
      </c>
      <c r="G16" s="657" t="e">
        <f>E16*30%</f>
        <v>#VALUE!</v>
      </c>
      <c r="H16" s="525"/>
    </row>
    <row r="17" spans="1:8">
      <c r="A17" s="877"/>
      <c r="B17" s="526" t="s">
        <v>638</v>
      </c>
      <c r="C17" s="658" t="e">
        <f>(E17*C7)+(G17*C8)</f>
        <v>#VALUE!</v>
      </c>
      <c r="D17" s="528" t="s">
        <v>636</v>
      </c>
      <c r="E17" s="529" t="s">
        <v>625</v>
      </c>
      <c r="F17" s="530" t="s">
        <v>637</v>
      </c>
      <c r="G17" s="529" t="s">
        <v>625</v>
      </c>
      <c r="H17" s="531"/>
    </row>
    <row r="18" spans="1:8" ht="32.5" thickBot="1">
      <c r="A18" s="877"/>
      <c r="B18" s="532" t="s">
        <v>642</v>
      </c>
      <c r="C18" s="659" t="e">
        <f>E18/E13</f>
        <v>#VALUE!</v>
      </c>
      <c r="D18" s="534" t="s">
        <v>639</v>
      </c>
      <c r="E18" s="660" t="e">
        <f>C17-C16</f>
        <v>#VALUE!</v>
      </c>
      <c r="F18" s="536" t="s">
        <v>640</v>
      </c>
      <c r="G18" s="660" t="e">
        <f>E18/C7</f>
        <v>#VALUE!</v>
      </c>
      <c r="H18" s="537"/>
    </row>
    <row r="19" spans="1:8" ht="21" customHeight="1" thickTop="1" thickBot="1">
      <c r="A19" s="678"/>
      <c r="B19" s="655" t="s">
        <v>919</v>
      </c>
      <c r="C19" s="1073"/>
      <c r="D19" s="1074"/>
      <c r="E19" s="1074"/>
      <c r="F19" s="1074"/>
      <c r="G19" s="1074"/>
      <c r="H19" s="1075"/>
    </row>
    <row r="20" spans="1:8" ht="5.25" customHeight="1" thickBot="1">
      <c r="A20" s="39"/>
      <c r="B20" s="515"/>
      <c r="C20" s="41"/>
      <c r="D20" s="41"/>
      <c r="H20" s="42"/>
    </row>
    <row r="21" spans="1:8">
      <c r="A21" s="875" t="s">
        <v>49</v>
      </c>
      <c r="B21" s="43" t="s">
        <v>81</v>
      </c>
      <c r="C21" s="44" t="s">
        <v>998</v>
      </c>
      <c r="D21" s="45"/>
      <c r="E21" s="9"/>
      <c r="F21" s="9"/>
      <c r="G21" s="9"/>
      <c r="H21" s="10"/>
    </row>
    <row r="22" spans="1:8">
      <c r="A22" s="827"/>
      <c r="B22" s="677" t="s">
        <v>999</v>
      </c>
      <c r="C22" s="46" t="s">
        <v>1000</v>
      </c>
      <c r="D22" s="47"/>
      <c r="E22" s="19"/>
      <c r="F22" s="19"/>
      <c r="G22" s="19"/>
      <c r="H22" s="20"/>
    </row>
    <row r="23" spans="1:8">
      <c r="A23" s="827"/>
      <c r="B23" s="25" t="s">
        <v>969</v>
      </c>
      <c r="C23" s="46" t="s">
        <v>1001</v>
      </c>
      <c r="D23" s="47"/>
      <c r="E23" s="19"/>
      <c r="F23" s="19"/>
      <c r="G23" s="19"/>
      <c r="H23" s="20"/>
    </row>
    <row r="24" spans="1:8">
      <c r="A24" s="827"/>
      <c r="B24" s="25" t="s">
        <v>970</v>
      </c>
      <c r="C24" s="25" t="s">
        <v>1002</v>
      </c>
      <c r="D24" s="23"/>
      <c r="E24" s="19"/>
      <c r="F24" s="19"/>
      <c r="G24" s="19"/>
      <c r="H24" s="20"/>
    </row>
    <row r="25" spans="1:8">
      <c r="A25" s="827"/>
      <c r="B25" s="25" t="s">
        <v>452</v>
      </c>
      <c r="C25" s="25" t="s">
        <v>1003</v>
      </c>
      <c r="D25" s="23"/>
      <c r="E25" s="19"/>
      <c r="F25" s="19"/>
      <c r="G25" s="19"/>
      <c r="H25" s="20"/>
    </row>
    <row r="26" spans="1:8">
      <c r="A26" s="827"/>
      <c r="B26" s="25" t="s">
        <v>445</v>
      </c>
      <c r="C26" s="25" t="s">
        <v>1004</v>
      </c>
      <c r="D26" s="23"/>
      <c r="E26" s="19"/>
      <c r="F26" s="19"/>
      <c r="G26" s="19"/>
      <c r="H26" s="20"/>
    </row>
    <row r="27" spans="1:8">
      <c r="A27" s="827"/>
      <c r="B27" s="25" t="s">
        <v>167</v>
      </c>
      <c r="C27" s="25" t="s">
        <v>1005</v>
      </c>
      <c r="D27" s="23"/>
      <c r="E27" s="19"/>
      <c r="F27" s="19"/>
      <c r="G27" s="19"/>
      <c r="H27" s="20"/>
    </row>
    <row r="28" spans="1:8" ht="16.5" thickBot="1">
      <c r="A28" s="828"/>
      <c r="B28" s="679" t="s">
        <v>447</v>
      </c>
      <c r="C28" s="679" t="s">
        <v>1006</v>
      </c>
      <c r="D28" s="48"/>
      <c r="E28" s="37"/>
      <c r="F28" s="37"/>
      <c r="G28" s="37"/>
      <c r="H28" s="38"/>
    </row>
    <row r="29" spans="1:8" ht="5.25" customHeight="1" thickBot="1">
      <c r="A29" s="39"/>
      <c r="B29" s="40"/>
      <c r="H29" s="42"/>
    </row>
    <row r="30" spans="1:8" s="5" customFormat="1">
      <c r="A30" s="875" t="s">
        <v>160</v>
      </c>
      <c r="B30" s="241" t="s">
        <v>101</v>
      </c>
      <c r="C30" s="242" t="s">
        <v>48</v>
      </c>
      <c r="D30" s="243" t="s">
        <v>125</v>
      </c>
      <c r="E30" s="243" t="s">
        <v>526</v>
      </c>
      <c r="F30" s="243" t="s">
        <v>527</v>
      </c>
      <c r="G30" s="243" t="s">
        <v>528</v>
      </c>
      <c r="H30" s="244" t="s">
        <v>454</v>
      </c>
    </row>
    <row r="31" spans="1:8">
      <c r="A31" s="827"/>
      <c r="B31" s="16"/>
      <c r="C31" s="53">
        <f>39*D31</f>
        <v>0</v>
      </c>
      <c r="D31" s="17"/>
      <c r="E31" s="54"/>
      <c r="F31" s="54"/>
      <c r="G31" s="54"/>
      <c r="H31" s="55" t="e">
        <f t="shared" ref="H31:H36" si="0">D31/$D$37</f>
        <v>#DIV/0!</v>
      </c>
    </row>
    <row r="32" spans="1:8">
      <c r="A32" s="827"/>
      <c r="B32" s="16"/>
      <c r="C32" s="53">
        <f>59*D32</f>
        <v>0</v>
      </c>
      <c r="D32" s="17"/>
      <c r="E32" s="54"/>
      <c r="F32" s="160"/>
      <c r="G32" s="54"/>
      <c r="H32" s="55" t="e">
        <f t="shared" si="0"/>
        <v>#DIV/0!</v>
      </c>
    </row>
    <row r="33" spans="1:8">
      <c r="A33" s="827"/>
      <c r="B33" s="16"/>
      <c r="C33" s="53">
        <f>59*D33</f>
        <v>0</v>
      </c>
      <c r="D33" s="17"/>
      <c r="E33" s="54"/>
      <c r="F33" s="160"/>
      <c r="G33" s="54"/>
      <c r="H33" s="55" t="e">
        <f t="shared" si="0"/>
        <v>#DIV/0!</v>
      </c>
    </row>
    <row r="34" spans="1:8">
      <c r="A34" s="827"/>
      <c r="B34" s="16"/>
      <c r="C34" s="53">
        <f>70*D34</f>
        <v>0</v>
      </c>
      <c r="D34" s="17"/>
      <c r="E34" s="54"/>
      <c r="F34" s="160"/>
      <c r="G34" s="54"/>
      <c r="H34" s="55" t="e">
        <f t="shared" si="0"/>
        <v>#DIV/0!</v>
      </c>
    </row>
    <row r="35" spans="1:8">
      <c r="A35" s="827"/>
      <c r="B35" s="16"/>
      <c r="C35" s="53">
        <f>74*D35</f>
        <v>0</v>
      </c>
      <c r="D35" s="17"/>
      <c r="E35" s="54"/>
      <c r="F35" s="160"/>
      <c r="G35" s="54"/>
      <c r="H35" s="55" t="e">
        <f t="shared" si="0"/>
        <v>#DIV/0!</v>
      </c>
    </row>
    <row r="36" spans="1:8">
      <c r="A36" s="827"/>
      <c r="B36" s="16"/>
      <c r="C36" s="53">
        <f>84*D36</f>
        <v>0</v>
      </c>
      <c r="D36" s="17"/>
      <c r="E36" s="54"/>
      <c r="F36" s="160"/>
      <c r="G36" s="54"/>
      <c r="H36" s="55" t="e">
        <f t="shared" si="0"/>
        <v>#DIV/0!</v>
      </c>
    </row>
    <row r="37" spans="1:8" ht="16.5" thickBot="1">
      <c r="A37" s="828"/>
      <c r="B37" s="56" t="s">
        <v>462</v>
      </c>
      <c r="C37" s="57">
        <f t="shared" ref="C37:H37" si="1">SUM(C31:C36)</f>
        <v>0</v>
      </c>
      <c r="D37" s="58">
        <f t="shared" si="1"/>
        <v>0</v>
      </c>
      <c r="E37" s="59">
        <f t="shared" si="1"/>
        <v>0</v>
      </c>
      <c r="F37" s="59">
        <f t="shared" si="1"/>
        <v>0</v>
      </c>
      <c r="G37" s="59">
        <f t="shared" si="1"/>
        <v>0</v>
      </c>
      <c r="H37" s="60" t="e">
        <f t="shared" si="1"/>
        <v>#DIV/0!</v>
      </c>
    </row>
    <row r="38" spans="1:8" ht="4.5" customHeight="1" thickBot="1">
      <c r="A38" s="39"/>
      <c r="B38" s="143"/>
      <c r="H38" s="42"/>
    </row>
    <row r="39" spans="1:8" s="2" customFormat="1" ht="16" customHeight="1">
      <c r="A39" s="962" t="s">
        <v>931</v>
      </c>
      <c r="B39" s="241" t="s">
        <v>1008</v>
      </c>
      <c r="C39" s="243" t="s">
        <v>930</v>
      </c>
      <c r="D39" s="243" t="s">
        <v>932</v>
      </c>
      <c r="E39" s="681" t="s">
        <v>933</v>
      </c>
      <c r="F39" s="1059" t="s">
        <v>470</v>
      </c>
      <c r="G39" s="1060"/>
      <c r="H39" s="1061"/>
    </row>
    <row r="40" spans="1:8" ht="16.5" customHeight="1">
      <c r="A40" s="1071"/>
      <c r="B40" s="16"/>
      <c r="C40" s="62"/>
      <c r="D40" s="63"/>
      <c r="E40" s="661">
        <f t="shared" ref="E40:E45" si="2">D40-C40</f>
        <v>0</v>
      </c>
      <c r="F40" s="1062" t="s">
        <v>1007</v>
      </c>
      <c r="G40" s="1063"/>
      <c r="H40" s="1064"/>
    </row>
    <row r="41" spans="1:8" ht="16.5" customHeight="1">
      <c r="A41" s="1071"/>
      <c r="B41" s="16" t="s">
        <v>1009</v>
      </c>
      <c r="C41" s="62">
        <f>275000000/(5210/799300*7993*0.3025)</f>
        <v>17448961.786773689</v>
      </c>
      <c r="D41" s="63">
        <f>550000000/((42.2617/24143.5)*24143.5*0.3025)</f>
        <v>43021975.409929521</v>
      </c>
      <c r="E41" s="661">
        <f>(D41-C41)*(42.2617/24143.5)*24143.5*0.3025</f>
        <v>326929606.52591181</v>
      </c>
      <c r="F41" s="1065"/>
      <c r="G41" s="1066"/>
      <c r="H41" s="1067"/>
    </row>
    <row r="42" spans="1:8" ht="16.5" customHeight="1">
      <c r="A42" s="1071"/>
      <c r="B42" s="16" t="s">
        <v>1010</v>
      </c>
      <c r="C42" s="62">
        <f>340000000/(7706/1032500*10325*0.3025)</f>
        <v>14585607.865932524</v>
      </c>
      <c r="D42" s="63">
        <f>550000000/((42.2617/24143.5)*24143.5*0.3025)</f>
        <v>43021975.409929521</v>
      </c>
      <c r="E42" s="661">
        <f>(D42-C42)*(42.2617/24143.5)*24143.5*0.3025</f>
        <v>363535193.35582668</v>
      </c>
      <c r="F42" s="1065"/>
      <c r="G42" s="1066"/>
      <c r="H42" s="1067"/>
    </row>
    <row r="43" spans="1:8" ht="16.5" customHeight="1">
      <c r="A43" s="1071"/>
      <c r="B43" s="16" t="s">
        <v>1011</v>
      </c>
      <c r="C43" s="62">
        <f>340000000/(7706/1226300*12263*0.3025)</f>
        <v>14585607.865932524</v>
      </c>
      <c r="D43" s="63">
        <f>550000000/((42.2617/24143.5)*24143.5*0.3025)</f>
        <v>43021975.409929521</v>
      </c>
      <c r="E43" s="661">
        <f>(D43-C43)*(42.2617/24143.5)*24143.5*0.3025</f>
        <v>363535193.35582668</v>
      </c>
      <c r="F43" s="1065"/>
      <c r="G43" s="1066"/>
      <c r="H43" s="1067"/>
    </row>
    <row r="44" spans="1:8" ht="16.5" customHeight="1">
      <c r="A44" s="1071"/>
      <c r="B44" s="16" t="s">
        <v>1012</v>
      </c>
      <c r="C44" s="62">
        <f>319000000/(561162/63960000*6396*0.3025)</f>
        <v>18792175.06790293</v>
      </c>
      <c r="D44" s="63">
        <f>550000000/((42.2617/24143.5)*24143.5*0.3025)</f>
        <v>43021975.409929521</v>
      </c>
      <c r="E44" s="661">
        <f>(D44-C44)*(42.2617/24143.5)*24143.5*0.3025</f>
        <v>309757747.31717408</v>
      </c>
      <c r="F44" s="1065"/>
      <c r="G44" s="1066"/>
      <c r="H44" s="1067"/>
    </row>
    <row r="45" spans="1:8" ht="16.5" customHeight="1" thickBot="1">
      <c r="A45" s="1072"/>
      <c r="B45" s="56"/>
      <c r="C45" s="64"/>
      <c r="D45" s="65"/>
      <c r="E45" s="662">
        <f t="shared" si="2"/>
        <v>0</v>
      </c>
      <c r="F45" s="1068"/>
      <c r="G45" s="1069"/>
      <c r="H45" s="1070"/>
    </row>
    <row r="46" spans="1:8" ht="5.25" customHeight="1" thickBot="1">
      <c r="A46" s="67"/>
      <c r="B46" s="515"/>
      <c r="C46" s="68"/>
      <c r="D46" s="69"/>
      <c r="E46" s="69"/>
      <c r="F46" s="69"/>
      <c r="G46" s="69"/>
    </row>
    <row r="47" spans="1:8">
      <c r="A47" s="833" t="s">
        <v>598</v>
      </c>
      <c r="B47" s="243" t="s">
        <v>599</v>
      </c>
      <c r="C47" s="242" t="s">
        <v>660</v>
      </c>
      <c r="D47" s="965" t="s">
        <v>600</v>
      </c>
      <c r="E47" s="965"/>
      <c r="F47" s="965"/>
      <c r="G47" s="965"/>
      <c r="H47" s="966"/>
    </row>
    <row r="48" spans="1:8" ht="17">
      <c r="A48" s="834"/>
      <c r="B48" s="165" t="s">
        <v>601</v>
      </c>
      <c r="C48" s="510"/>
      <c r="D48" s="617"/>
      <c r="E48" s="54"/>
      <c r="F48" s="54"/>
      <c r="G48" s="54"/>
      <c r="H48" s="31"/>
    </row>
    <row r="49" spans="1:8" ht="17">
      <c r="A49" s="834"/>
      <c r="B49" s="165" t="s">
        <v>602</v>
      </c>
      <c r="C49" s="510"/>
      <c r="D49" s="17"/>
      <c r="E49" s="54"/>
      <c r="F49" s="54"/>
      <c r="G49" s="54"/>
      <c r="H49" s="31"/>
    </row>
    <row r="50" spans="1:8">
      <c r="A50" s="834"/>
      <c r="B50" s="165" t="s">
        <v>603</v>
      </c>
      <c r="C50" s="53"/>
      <c r="D50" s="17"/>
      <c r="E50" s="54"/>
      <c r="F50" s="54"/>
      <c r="G50" s="54"/>
      <c r="H50" s="31"/>
    </row>
    <row r="51" spans="1:8">
      <c r="A51" s="834"/>
      <c r="B51" s="165" t="s">
        <v>604</v>
      </c>
      <c r="C51" s="53"/>
      <c r="D51" s="17"/>
      <c r="E51" s="54"/>
      <c r="F51" s="54"/>
      <c r="G51" s="54"/>
      <c r="H51" s="31"/>
    </row>
    <row r="52" spans="1:8">
      <c r="A52" s="834"/>
      <c r="B52" s="165" t="s">
        <v>584</v>
      </c>
      <c r="C52" s="53"/>
      <c r="D52" s="17"/>
      <c r="E52" s="54"/>
      <c r="F52" s="54"/>
      <c r="G52" s="54"/>
      <c r="H52" s="31"/>
    </row>
    <row r="53" spans="1:8">
      <c r="A53" s="834"/>
      <c r="B53" s="165" t="s">
        <v>609</v>
      </c>
      <c r="C53" s="53"/>
      <c r="D53" s="17"/>
      <c r="E53" s="54"/>
      <c r="F53" s="54"/>
      <c r="G53" s="54"/>
      <c r="H53" s="31"/>
    </row>
    <row r="54" spans="1:8">
      <c r="A54" s="834"/>
      <c r="B54" s="165" t="s">
        <v>610</v>
      </c>
      <c r="C54" s="53"/>
      <c r="D54" s="17"/>
      <c r="E54" s="54"/>
      <c r="F54" s="54"/>
      <c r="G54" s="54"/>
      <c r="H54" s="31"/>
    </row>
    <row r="55" spans="1:8">
      <c r="A55" s="834"/>
      <c r="B55" s="165" t="s">
        <v>611</v>
      </c>
      <c r="C55" s="53"/>
      <c r="D55" s="17"/>
      <c r="E55" s="54"/>
      <c r="F55" s="54"/>
      <c r="G55" s="54"/>
      <c r="H55" s="31"/>
    </row>
    <row r="56" spans="1:8">
      <c r="A56" s="834"/>
      <c r="B56" s="165" t="s">
        <v>616</v>
      </c>
      <c r="C56" s="53"/>
      <c r="D56" s="17"/>
      <c r="E56" s="54"/>
      <c r="F56" s="54"/>
      <c r="G56" s="54"/>
      <c r="H56" s="31"/>
    </row>
    <row r="57" spans="1:8">
      <c r="A57" s="834"/>
      <c r="B57" s="489" t="s">
        <v>829</v>
      </c>
      <c r="C57" s="53"/>
      <c r="D57" s="17"/>
      <c r="E57" s="54"/>
      <c r="F57" s="54"/>
      <c r="G57" s="54"/>
      <c r="H57" s="31"/>
    </row>
    <row r="58" spans="1:8">
      <c r="A58" s="834"/>
      <c r="B58" s="489" t="s">
        <v>830</v>
      </c>
      <c r="C58" s="53"/>
      <c r="D58" s="17"/>
      <c r="E58" s="54"/>
      <c r="F58" s="54"/>
      <c r="G58" s="54"/>
      <c r="H58" s="31"/>
    </row>
    <row r="59" spans="1:8">
      <c r="A59" s="834"/>
      <c r="B59" s="165" t="s">
        <v>831</v>
      </c>
      <c r="C59" s="53"/>
      <c r="D59" s="17"/>
      <c r="E59" s="54"/>
      <c r="F59" s="54"/>
      <c r="G59" s="54"/>
      <c r="H59" s="31"/>
    </row>
    <row r="60" spans="1:8" ht="17.5" thickBot="1">
      <c r="A60" s="836"/>
      <c r="B60" s="490" t="s">
        <v>832</v>
      </c>
      <c r="C60" s="494"/>
      <c r="D60" s="618"/>
      <c r="E60" s="619"/>
      <c r="F60" s="619"/>
      <c r="G60" s="619"/>
      <c r="H60" s="66"/>
    </row>
    <row r="61" spans="1:8">
      <c r="A61" s="826" t="s">
        <v>650</v>
      </c>
      <c r="B61" s="582" t="s">
        <v>1013</v>
      </c>
      <c r="C61" s="565"/>
      <c r="D61" s="566"/>
      <c r="E61" s="559"/>
      <c r="F61" s="559"/>
      <c r="G61" s="559"/>
      <c r="H61" s="567"/>
    </row>
    <row r="62" spans="1:8">
      <c r="A62" s="827"/>
      <c r="B62" s="206" t="s">
        <v>988</v>
      </c>
      <c r="C62" s="78"/>
      <c r="D62" s="79"/>
      <c r="E62" s="76"/>
      <c r="F62" s="76"/>
      <c r="G62" s="76"/>
      <c r="H62" s="114"/>
    </row>
    <row r="63" spans="1:8">
      <c r="A63" s="827"/>
      <c r="B63" s="206" t="s">
        <v>989</v>
      </c>
      <c r="C63" s="78"/>
      <c r="D63" s="79"/>
      <c r="E63" s="76"/>
      <c r="F63" s="76"/>
      <c r="G63" s="76"/>
      <c r="H63" s="114"/>
    </row>
    <row r="64" spans="1:8" ht="16.5" thickBot="1">
      <c r="A64" s="828"/>
      <c r="B64" s="568" t="s">
        <v>990</v>
      </c>
      <c r="C64" s="569"/>
      <c r="D64" s="570"/>
      <c r="E64" s="571"/>
      <c r="F64" s="571"/>
      <c r="G64" s="571"/>
      <c r="H64" s="572"/>
    </row>
  </sheetData>
  <mergeCells count="16">
    <mergeCell ref="A1:H1"/>
    <mergeCell ref="A2:A18"/>
    <mergeCell ref="C4:D4"/>
    <mergeCell ref="D5:E5"/>
    <mergeCell ref="G5:H5"/>
    <mergeCell ref="G6:H6"/>
    <mergeCell ref="F8:H8"/>
    <mergeCell ref="A47:A60"/>
    <mergeCell ref="D47:H47"/>
    <mergeCell ref="A61:A64"/>
    <mergeCell ref="C19:H19"/>
    <mergeCell ref="A21:A28"/>
    <mergeCell ref="A30:A37"/>
    <mergeCell ref="A39:A45"/>
    <mergeCell ref="F39:H39"/>
    <mergeCell ref="F40:H45"/>
  </mergeCells>
  <phoneticPr fontId="16" type="noConversion"/>
  <pageMargins left="0.69972223043441772" right="0.69972223043441772" top="0.75" bottom="0.75" header="0.30000001192092896" footer="0.30000001192092896"/>
  <pageSetup paperSize="9" scale="86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45</vt:i4>
      </vt:variant>
      <vt:variant>
        <vt:lpstr>이름이 지정된 범위</vt:lpstr>
      </vt:variant>
      <vt:variant>
        <vt:i4>23</vt:i4>
      </vt:variant>
    </vt:vector>
  </HeadingPairs>
  <TitlesOfParts>
    <vt:vector size="68" baseType="lpstr">
      <vt:lpstr>PPR</vt:lpstr>
      <vt:lpstr>감만1구역</vt:lpstr>
      <vt:lpstr>우암2구역</vt:lpstr>
      <vt:lpstr>우암1구역</vt:lpstr>
      <vt:lpstr>대연3구역</vt:lpstr>
      <vt:lpstr>대연4구역</vt:lpstr>
      <vt:lpstr>대연8구역</vt:lpstr>
      <vt:lpstr>복산1구역</vt:lpstr>
      <vt:lpstr>우동3구역</vt:lpstr>
      <vt:lpstr>광안2구역</vt:lpstr>
      <vt:lpstr>서금사 재정비 촉진A</vt:lpstr>
      <vt:lpstr>서금사 재정비 촉진5</vt:lpstr>
      <vt:lpstr>온천4</vt:lpstr>
      <vt:lpstr>양정1구역</vt:lpstr>
      <vt:lpstr>양정2구역</vt:lpstr>
      <vt:lpstr>양정3구역</vt:lpstr>
      <vt:lpstr>거제2구역</vt:lpstr>
      <vt:lpstr>시민공원촉진3구역</vt:lpstr>
      <vt:lpstr>시민공원촉진4구역</vt:lpstr>
      <vt:lpstr>가야1구역</vt:lpstr>
      <vt:lpstr>범천4구역</vt:lpstr>
      <vt:lpstr>범천1-1구역</vt:lpstr>
      <vt:lpstr>문현1구역</vt:lpstr>
      <vt:lpstr>문현3구역</vt:lpstr>
      <vt:lpstr>좌천범일통합2지구</vt:lpstr>
      <vt:lpstr>좌천범일통합3지구</vt:lpstr>
      <vt:lpstr>초량2구역</vt:lpstr>
      <vt:lpstr>초량3구역</vt:lpstr>
      <vt:lpstr>괴정5구역</vt:lpstr>
      <vt:lpstr>괴정6구역</vt:lpstr>
      <vt:lpstr>엄궁3구역</vt:lpstr>
      <vt:lpstr>부곡2구역</vt:lpstr>
      <vt:lpstr>범일2구역</vt:lpstr>
      <vt:lpstr>망미2구역</vt:lpstr>
      <vt:lpstr>용호2구역</vt:lpstr>
      <vt:lpstr>감천2구역</vt:lpstr>
      <vt:lpstr>영도5구역</vt:lpstr>
      <vt:lpstr>부민2구역</vt:lpstr>
      <vt:lpstr>동삼2구역</vt:lpstr>
      <vt:lpstr>용호3구역</vt:lpstr>
      <vt:lpstr>전포1-1구역</vt:lpstr>
      <vt:lpstr>남천2-3 남천삼익비치-재건축</vt:lpstr>
      <vt:lpstr>거제1-재건축</vt:lpstr>
      <vt:lpstr>사직1-5-재건축</vt:lpstr>
      <vt:lpstr>사직1-6-재건축</vt:lpstr>
      <vt:lpstr>감만1구역!Print_Area</vt:lpstr>
      <vt:lpstr>감천2구역!Print_Area</vt:lpstr>
      <vt:lpstr>거제2구역!Print_Area</vt:lpstr>
      <vt:lpstr>괴정5구역!Print_Area</vt:lpstr>
      <vt:lpstr>괴정6구역!Print_Area</vt:lpstr>
      <vt:lpstr>대연4구역!Print_Area</vt:lpstr>
      <vt:lpstr>'범천1-1구역'!Print_Area</vt:lpstr>
      <vt:lpstr>복산1구역!Print_Area</vt:lpstr>
      <vt:lpstr>부민2구역!Print_Area</vt:lpstr>
      <vt:lpstr>'서금사 재정비 촉진5'!Print_Area</vt:lpstr>
      <vt:lpstr>'서금사 재정비 촉진A'!Print_Area</vt:lpstr>
      <vt:lpstr>양정1구역!Print_Area</vt:lpstr>
      <vt:lpstr>양정2구역!Print_Area</vt:lpstr>
      <vt:lpstr>양정3구역!Print_Area</vt:lpstr>
      <vt:lpstr>엄궁3구역!Print_Area</vt:lpstr>
      <vt:lpstr>영도5구역!Print_Area</vt:lpstr>
      <vt:lpstr>온천4!Print_Area</vt:lpstr>
      <vt:lpstr>용호2구역!Print_Area</vt:lpstr>
      <vt:lpstr>용호3구역!Print_Area</vt:lpstr>
      <vt:lpstr>우동3구역!Print_Area</vt:lpstr>
      <vt:lpstr>우암1구역!Print_Area</vt:lpstr>
      <vt:lpstr>우암2구역!Print_Area</vt:lpstr>
      <vt:lpstr>'전포1-1구역'!Print_Area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정남진</cp:lastModifiedBy>
  <cp:revision>378</cp:revision>
  <cp:lastPrinted>2018-12-18T16:20:43Z</cp:lastPrinted>
  <dcterms:created xsi:type="dcterms:W3CDTF">2018-12-18T14:22:54Z</dcterms:created>
  <dcterms:modified xsi:type="dcterms:W3CDTF">2021-01-18T05:35:25Z</dcterms:modified>
</cp:coreProperties>
</file>